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0860" windowHeight="9120" tabRatio="680" activeTab="0"/>
  </bookViews>
  <sheets>
    <sheet name="Capital Cost Estimate" sheetId="1" r:id="rId1"/>
    <sheet name="Capital Cost Assumptions" sheetId="2" r:id="rId2"/>
    <sheet name="Operating Cost Estimate" sheetId="3" r:id="rId3"/>
    <sheet name="Operating Cost Assumptions" sheetId="4" r:id="rId4"/>
    <sheet name="Cash Flow Estimates_Ft Knox" sheetId="5" r:id="rId5"/>
    <sheet name="Cash Flow Estimates_Scenario 1" sheetId="6" r:id="rId6"/>
    <sheet name="Cash Flow_Scenario 2" sheetId="7" r:id="rId7"/>
    <sheet name="Cash Flow Scenario 3" sheetId="8" r:id="rId8"/>
    <sheet name="Cash Flow Scenario 4" sheetId="9" r:id="rId9"/>
  </sheets>
  <definedNames>
    <definedName name="_xlnm.Print_Area" localSheetId="1">'Capital Cost Assumptions'!$A$1:$L$156</definedName>
    <definedName name="_xlnm.Print_Area" localSheetId="0">'Capital Cost Estimate'!$A$1:$AF$178</definedName>
    <definedName name="_xlnm.Print_Area" localSheetId="4">'Cash Flow Estimates_Ft Knox'!$A$1:$L$39</definedName>
    <definedName name="_xlnm.Print_Area" localSheetId="5">'Cash Flow Estimates_Scenario 1'!$A$1:$L$39</definedName>
    <definedName name="_xlnm.Print_Area" localSheetId="7">'Cash Flow Scenario 3'!$A$1:$L$89</definedName>
    <definedName name="_xlnm.Print_Area" localSheetId="8">'Cash Flow Scenario 4'!$A$1:$L$140</definedName>
    <definedName name="_xlnm.Print_Area" localSheetId="6">'Cash Flow_Scenario 2'!$A$1:$L$39</definedName>
    <definedName name="_xlnm.Print_Area" localSheetId="3">'Operating Cost Assumptions'!$A$1:$L$57</definedName>
    <definedName name="_xlnm.Print_Titles" localSheetId="1">'Capital Cost Assumptions'!$1:$6</definedName>
    <definedName name="_xlnm.Print_Titles" localSheetId="0">'Capital Cost Estimate'!$1:$6</definedName>
    <definedName name="_xlnm.Print_Titles" localSheetId="4">'Cash Flow Estimates_Ft Knox'!$1:$8</definedName>
    <definedName name="_xlnm.Print_Titles" localSheetId="8">'Cash Flow Scenario 4'!$1:$8</definedName>
    <definedName name="_xlnm.Print_Titles" localSheetId="2">'Operating Cost Estimate'!$1:$6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David M. Chambers</author>
  </authors>
  <commentList>
    <comment ref="AA134" authorId="0">
      <text>
        <r>
          <rPr>
            <b/>
            <sz val="8"/>
            <rFont val="Tahoma"/>
            <family val="0"/>
          </rPr>
          <t>David M. Chambers:</t>
        </r>
        <r>
          <rPr>
            <sz val="8"/>
            <rFont val="Tahoma"/>
            <family val="0"/>
          </rPr>
          <t xml:space="preserve">
need example to justify this cost
</t>
        </r>
      </text>
    </comment>
    <comment ref="AA135" authorId="0">
      <text>
        <r>
          <rPr>
            <b/>
            <sz val="8"/>
            <rFont val="Tahoma"/>
            <family val="0"/>
          </rPr>
          <t>David M. Chambers:</t>
        </r>
        <r>
          <rPr>
            <sz val="8"/>
            <rFont val="Tahoma"/>
            <family val="0"/>
          </rPr>
          <t xml:space="preserve">
sludge disposal, need example
</t>
        </r>
      </text>
    </comment>
    <comment ref="AE134" authorId="0">
      <text>
        <r>
          <rPr>
            <b/>
            <sz val="8"/>
            <rFont val="Tahoma"/>
            <family val="0"/>
          </rPr>
          <t>David M. Chambers:</t>
        </r>
        <r>
          <rPr>
            <sz val="8"/>
            <rFont val="Tahoma"/>
            <family val="0"/>
          </rPr>
          <t xml:space="preserve">
need example to justify this cost
</t>
        </r>
      </text>
    </comment>
    <comment ref="AE135" authorId="0">
      <text>
        <r>
          <rPr>
            <b/>
            <sz val="8"/>
            <rFont val="Tahoma"/>
            <family val="0"/>
          </rPr>
          <t>David M. Chambers:</t>
        </r>
        <r>
          <rPr>
            <sz val="8"/>
            <rFont val="Tahoma"/>
            <family val="0"/>
          </rPr>
          <t xml:space="preserve">
sludge disposal, need example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J50" authorId="0">
      <text>
        <r>
          <rPr>
            <sz val="10"/>
            <rFont val="Tahoma"/>
            <family val="0"/>
          </rPr>
          <t>get reference!</t>
        </r>
      </text>
    </comment>
  </commentList>
</comments>
</file>

<file path=xl/sharedStrings.xml><?xml version="1.0" encoding="utf-8"?>
<sst xmlns="http://schemas.openxmlformats.org/spreadsheetml/2006/main" count="997" uniqueCount="283">
  <si>
    <t>Detailed Reclamation and Closure/Closeout  Bond Cost Estimate - Capital Costs</t>
  </si>
  <si>
    <t>Tasks</t>
  </si>
  <si>
    <t>Line</t>
  </si>
  <si>
    <t>Manpower</t>
  </si>
  <si>
    <t>Equipment</t>
  </si>
  <si>
    <t>Materials</t>
  </si>
  <si>
    <t>Total Cost</t>
  </si>
  <si>
    <t>Unit</t>
  </si>
  <si>
    <t>No. Units</t>
  </si>
  <si>
    <t>Unit Cost</t>
  </si>
  <si>
    <t>ac</t>
  </si>
  <si>
    <t>Flat</t>
  </si>
  <si>
    <t>Contour</t>
  </si>
  <si>
    <t>Rip</t>
  </si>
  <si>
    <t>Cover</t>
  </si>
  <si>
    <t>Growth Medium</t>
  </si>
  <si>
    <t>Sloped</t>
  </si>
  <si>
    <t>Earthwork/Recontouring Subtotal</t>
  </si>
  <si>
    <t>Blade</t>
  </si>
  <si>
    <t>Seeding (seed, equipment, labor)</t>
  </si>
  <si>
    <t>Seeding (seed + equipment + labor)</t>
  </si>
  <si>
    <t>Revegetation/Stabilization Subtotal</t>
  </si>
  <si>
    <t>Mine Waste Pile Reclamation</t>
  </si>
  <si>
    <t>2a</t>
  </si>
  <si>
    <t>2a1</t>
  </si>
  <si>
    <t>2a2</t>
  </si>
  <si>
    <t>2a3</t>
  </si>
  <si>
    <t>2a4</t>
  </si>
  <si>
    <t>2a5</t>
  </si>
  <si>
    <t>2a6</t>
  </si>
  <si>
    <t>2a7</t>
  </si>
  <si>
    <t>2a8</t>
  </si>
  <si>
    <t>2a9</t>
  </si>
  <si>
    <t>2a10</t>
  </si>
  <si>
    <t>2a11</t>
  </si>
  <si>
    <t>2a12</t>
  </si>
  <si>
    <t>2b</t>
  </si>
  <si>
    <t>2c</t>
  </si>
  <si>
    <t>2d</t>
  </si>
  <si>
    <t>2e</t>
  </si>
  <si>
    <t>Install additional groundwater controls</t>
  </si>
  <si>
    <t>Subtotal Waste Rock Area Reclamation</t>
  </si>
  <si>
    <t>Tailing Impoundments Reclamation</t>
  </si>
  <si>
    <t>3a</t>
  </si>
  <si>
    <t>3b</t>
  </si>
  <si>
    <t>3c</t>
  </si>
  <si>
    <t>3c9</t>
  </si>
  <si>
    <t xml:space="preserve">Install stormwater controls </t>
  </si>
  <si>
    <t>Spillways</t>
  </si>
  <si>
    <t>Stormwater protection</t>
  </si>
  <si>
    <t>Subtotal Tailings Facility Reclamation</t>
  </si>
  <si>
    <t>4a</t>
  </si>
  <si>
    <t>4b</t>
  </si>
  <si>
    <t>4c</t>
  </si>
  <si>
    <t>Miscellaneous</t>
  </si>
  <si>
    <t>Detoxification/Disposal of Wastes</t>
  </si>
  <si>
    <t>Public Safety</t>
  </si>
  <si>
    <t>Subtotal Miscellaneous</t>
  </si>
  <si>
    <t>Water Treatment Capture, Pump, Treatment and Discharge</t>
  </si>
  <si>
    <t>Interceptor wells</t>
  </si>
  <si>
    <t>Collection and distribution</t>
  </si>
  <si>
    <t>Degritting/equilization ponds</t>
  </si>
  <si>
    <t>Water treatment plant</t>
  </si>
  <si>
    <t>Sludge disposal facilities</t>
  </si>
  <si>
    <t>Effluent disposal facilities</t>
  </si>
  <si>
    <t>Subtotal Water Treatment Capture, Pump, Treatment and Discharge</t>
  </si>
  <si>
    <t>Indirect Costs</t>
  </si>
  <si>
    <t>Mobilization and demobilization</t>
  </si>
  <si>
    <t>Engineering redesign</t>
  </si>
  <si>
    <t>Engineering, procurement, construction management</t>
  </si>
  <si>
    <t>Contractor Overhead</t>
  </si>
  <si>
    <t>Contractor Profit</t>
  </si>
  <si>
    <t>Sub-Total Indirect Costs</t>
  </si>
  <si>
    <t>Item1</t>
  </si>
  <si>
    <t>Item 2</t>
  </si>
  <si>
    <t>Item 3</t>
  </si>
  <si>
    <t>Item 4</t>
  </si>
  <si>
    <t>Item 5</t>
  </si>
  <si>
    <t>Detailed Reclamation and Closure/Closeout  Bond Cost Estimate - Operating Costs</t>
  </si>
  <si>
    <t>Interim Water Management and Operations</t>
  </si>
  <si>
    <t>Water Treatment Plant</t>
  </si>
  <si>
    <t>Labor</t>
  </si>
  <si>
    <t>Reagents</t>
  </si>
  <si>
    <t>Maintenance</t>
  </si>
  <si>
    <t>Analytical</t>
  </si>
  <si>
    <t>Electric Power</t>
  </si>
  <si>
    <t>Sub-Total Water Treatment Plant</t>
  </si>
  <si>
    <t>General Site Operation and Maintenance</t>
  </si>
  <si>
    <t>3d</t>
  </si>
  <si>
    <t>Office Expense</t>
  </si>
  <si>
    <t>3e</t>
  </si>
  <si>
    <t>Service Expense</t>
  </si>
  <si>
    <t>3f</t>
  </si>
  <si>
    <t>Site Security</t>
  </si>
  <si>
    <t>Sub-total General Site Operation and Maintenance</t>
  </si>
  <si>
    <t>Long-Term Operation and Maintenance Expense</t>
  </si>
  <si>
    <t>Surface and Groundwater  Monitoring</t>
  </si>
  <si>
    <t>4c1</t>
  </si>
  <si>
    <t>4c2</t>
  </si>
  <si>
    <t>4c3</t>
  </si>
  <si>
    <t>Sub-Total Long-Term Operation and Maintenance Expense</t>
  </si>
  <si>
    <t>Water Treatment Plant Capital Replacement</t>
  </si>
  <si>
    <t xml:space="preserve">10 yr @ 25% of Water Treatment Plant Capital Costs </t>
  </si>
  <si>
    <t>20 yr @ 25% of Water Treatment Plant Capital Costs</t>
  </si>
  <si>
    <t>40 yr @ 50% of Water Treatment Plant Capital Costs</t>
  </si>
  <si>
    <t>10yr @ $2,000,000 for water management structures</t>
  </si>
  <si>
    <t>Ft Knox Mine Tailing Storage Reclamation and Closure</t>
  </si>
  <si>
    <t>Ft Knox December 2000 Estimate</t>
  </si>
  <si>
    <t xml:space="preserve">Tailing Impoundment </t>
  </si>
  <si>
    <t>Tailing Impoundment Subtotal</t>
  </si>
  <si>
    <t>Channel Sections 1 - 4</t>
  </si>
  <si>
    <t>Channel Sections 1 - 4 Subtotal</t>
  </si>
  <si>
    <t>from Tailing Impoundment cost estimation worksheet</t>
  </si>
  <si>
    <t>from Tailing Spillway Construction cost estimation worksheet</t>
  </si>
  <si>
    <t>yd3</t>
  </si>
  <si>
    <t>Post Spillway Tailing Channels 5 - 6</t>
  </si>
  <si>
    <t>Post-Spillway Tailing Channels 5 - 6 Subtotal</t>
  </si>
  <si>
    <t>from Post Spillway Tailing Channels cost estimation worksheet</t>
  </si>
  <si>
    <t>from Dump cost estimation worksheet</t>
  </si>
  <si>
    <t>Fish Creek Dump</t>
  </si>
  <si>
    <t>Fish Creek Dump Subtotal</t>
  </si>
  <si>
    <t>labor dollar amount split based on 41% flat areas and 59% sloped areas</t>
  </si>
  <si>
    <t>material dollar amount split based on 41% flat areas and 59% sloped areas</t>
  </si>
  <si>
    <t>Tailing Dam Monitoring</t>
  </si>
  <si>
    <t>Tailing Dam Maintenance</t>
  </si>
  <si>
    <t>4c4</t>
  </si>
  <si>
    <t>Material and Supplies</t>
  </si>
  <si>
    <t>Mobilization/Demobilization</t>
  </si>
  <si>
    <t>dollar amount based on 42% annual cost for manpower</t>
  </si>
  <si>
    <t>dollar amount based on 44% annual cost for equipment</t>
  </si>
  <si>
    <t>dollar amount based on 5% annual cost for materials</t>
  </si>
  <si>
    <t>dollar amount based on 9% annual cost for mob./demob.</t>
  </si>
  <si>
    <t>from cost estimate summary sheet</t>
  </si>
  <si>
    <t>from Water Treatment Costs worksheet, Capital Investment</t>
  </si>
  <si>
    <t>5a</t>
  </si>
  <si>
    <t>5b</t>
  </si>
  <si>
    <t>5c</t>
  </si>
  <si>
    <t>5d</t>
  </si>
  <si>
    <t>5e</t>
  </si>
  <si>
    <t>5f</t>
  </si>
  <si>
    <t>5g</t>
  </si>
  <si>
    <t>5h</t>
  </si>
  <si>
    <t>Total Operating Cost</t>
  </si>
  <si>
    <t>Total Capital Cost</t>
  </si>
  <si>
    <t>from Summary Worksheet, 5% of contract cost</t>
  </si>
  <si>
    <t>from Summary Worksheet, 8% of contract cost</t>
  </si>
  <si>
    <t>from Summary Worksheet, 10% of contract cost</t>
  </si>
  <si>
    <t>1a</t>
  </si>
  <si>
    <t>1a1</t>
  </si>
  <si>
    <t>1a2</t>
  </si>
  <si>
    <t>1a3</t>
  </si>
  <si>
    <t>1a4</t>
  </si>
  <si>
    <t>1a5</t>
  </si>
  <si>
    <t>1a6</t>
  </si>
  <si>
    <t>1a7</t>
  </si>
  <si>
    <t>1a8</t>
  </si>
  <si>
    <t>1a9</t>
  </si>
  <si>
    <t>1a10</t>
  </si>
  <si>
    <t>1a11</t>
  </si>
  <si>
    <t>1a12</t>
  </si>
  <si>
    <t>2b1</t>
  </si>
  <si>
    <t>2b2</t>
  </si>
  <si>
    <t>2b3</t>
  </si>
  <si>
    <t>2b4</t>
  </si>
  <si>
    <t>2b5</t>
  </si>
  <si>
    <t>2b6</t>
  </si>
  <si>
    <t>2b7</t>
  </si>
  <si>
    <t>2b8</t>
  </si>
  <si>
    <t>2b9</t>
  </si>
  <si>
    <t>2b10</t>
  </si>
  <si>
    <t>2b11</t>
  </si>
  <si>
    <t>2b12</t>
  </si>
  <si>
    <t>2c1</t>
  </si>
  <si>
    <t>2c2</t>
  </si>
  <si>
    <t>2c3</t>
  </si>
  <si>
    <t>2c4</t>
  </si>
  <si>
    <t>2c5</t>
  </si>
  <si>
    <t>2c6</t>
  </si>
  <si>
    <t>2c7</t>
  </si>
  <si>
    <t>2c8</t>
  </si>
  <si>
    <t>2c10</t>
  </si>
  <si>
    <t>2c11</t>
  </si>
  <si>
    <t>2c12</t>
  </si>
  <si>
    <t>2d1</t>
  </si>
  <si>
    <t>2d2</t>
  </si>
  <si>
    <t>4d</t>
  </si>
  <si>
    <t>Total Operating Costs</t>
  </si>
  <si>
    <t xml:space="preserve">Contingency </t>
  </si>
  <si>
    <t xml:space="preserve">Agency Administration </t>
  </si>
  <si>
    <t xml:space="preserve">Mobilization and demobilization </t>
  </si>
  <si>
    <t>Subtotal Waste Pile Reclamation</t>
  </si>
  <si>
    <t>Operating Costs</t>
  </si>
  <si>
    <t>PROJECT CASH FLOW</t>
  </si>
  <si>
    <t>Year</t>
  </si>
  <si>
    <t>Cost Area</t>
  </si>
  <si>
    <t>Total</t>
  </si>
  <si>
    <t>Nominal Value</t>
  </si>
  <si>
    <t>Present Value</t>
  </si>
  <si>
    <t>Capital Costs</t>
  </si>
  <si>
    <t>Inflation =</t>
  </si>
  <si>
    <t>Discount =</t>
  </si>
  <si>
    <t>Water Treatment</t>
  </si>
  <si>
    <t>Grand Total</t>
  </si>
  <si>
    <t xml:space="preserve">FORT KNOX MINE TAILING STORAGE RECLAMATION AND CLOSURE </t>
  </si>
  <si>
    <t>Mine Waste Piles</t>
  </si>
  <si>
    <t>Tailings Impoundment</t>
  </si>
  <si>
    <t>Water Treatment Plant O&amp;M</t>
  </si>
  <si>
    <t>General Site O&amp;M</t>
  </si>
  <si>
    <t>SUMMARY - Ft Knox Mine Tailings Storage Reclamation and Closure Estimate - Operating Costs (Indirect Costs Included)</t>
  </si>
  <si>
    <t>SUMMARY - Ft Knox Mine Tailings Storage Reclamation and Closure Estimate - Capital Costs (Indirect Costs Included)</t>
  </si>
  <si>
    <t>Item 6</t>
  </si>
  <si>
    <t>Water Treatment Plant Capital Replaement</t>
  </si>
  <si>
    <t>Long Term O&amp;M</t>
  </si>
  <si>
    <t xml:space="preserve">from Water Monitoring Costs worksheet; quarterly analysis years 1-2, then annual analysis years 3-10, then every 5 years for years 15, 20, 25, 30 </t>
  </si>
  <si>
    <t>from Tailing Dam Monitoring Worksheet; inspection every 5 years starting with year 5 (6 total)</t>
  </si>
  <si>
    <t>conducted on a 5 year schedule starting with year 5 (6 total)</t>
  </si>
  <si>
    <t>from Water Treatment Costs worksheet; operated for 5 years</t>
  </si>
  <si>
    <t>CSP2 2003 Esimate - Scenario 1</t>
  </si>
  <si>
    <t>CSP2 2003 Estimate - Scenario 1</t>
  </si>
  <si>
    <t>CSP2 2003 Esimate - Scenario 2</t>
  </si>
  <si>
    <t>Tailing Spillway Construction</t>
  </si>
  <si>
    <t>2c9</t>
  </si>
  <si>
    <t>2d3</t>
  </si>
  <si>
    <t>2d4</t>
  </si>
  <si>
    <t>2d5</t>
  </si>
  <si>
    <t>2d6</t>
  </si>
  <si>
    <t>2d7</t>
  </si>
  <si>
    <t>2d8</t>
  </si>
  <si>
    <t>2d9</t>
  </si>
  <si>
    <t>2d10</t>
  </si>
  <si>
    <t>2d11</t>
  </si>
  <si>
    <t>2d12</t>
  </si>
  <si>
    <t>2f</t>
  </si>
  <si>
    <t>2e1</t>
  </si>
  <si>
    <t>2e2</t>
  </si>
  <si>
    <t>4e</t>
  </si>
  <si>
    <t>4f</t>
  </si>
  <si>
    <t>Total Tasks 1 thru 4</t>
  </si>
  <si>
    <t>Tailing Spillway Subtotal</t>
  </si>
  <si>
    <t>3% - allows for redesign of the existing reclamation plan to reflect current conditions in the event of bankruptcy</t>
  </si>
  <si>
    <t>5% - accounts for construction engineering and management on behalf of agency conducting reclamtion</t>
  </si>
  <si>
    <t>15% - covers administrative, management, safety, legal, and other costs</t>
  </si>
  <si>
    <t>Total Captial Reclamation Cost</t>
  </si>
  <si>
    <t xml:space="preserve">FORT KNOX MINE TAILING STORAGE RECLAMATION AND CLOSURE - CSP2 SCENARIO 1 </t>
  </si>
  <si>
    <t>Total Operating Reclamation Cost</t>
  </si>
  <si>
    <t>CSP2 2003 Estimate - Scenario 4</t>
  </si>
  <si>
    <t>CSP2 2003 Estimate - Scenario 3</t>
  </si>
  <si>
    <t>CSP2 2003 Estimate - Scenario 2</t>
  </si>
  <si>
    <t>12' growth media to ensure adequate coverage; assume 1/2 contour cost for surface work and 1/2 for cover work therefore average unit cost for Waste Rock Reclamation increased by 50%</t>
  </si>
  <si>
    <t>unit cost based on MDEQ estimation for flat surfaces</t>
  </si>
  <si>
    <t>unit cost based on MDEQ estimation for sloped surfaces</t>
  </si>
  <si>
    <t>12' growth media to ensure adequate coverage; assume 1/2 contour cost for surface work and 1/2 for cover work therefore average unit cost for Tailing Impoundment Reclamation increased by 50%</t>
  </si>
  <si>
    <t>blading and seeding combined to represent unit cost based on MDEQ estimation for flat surfaces</t>
  </si>
  <si>
    <t>lot</t>
  </si>
  <si>
    <t>sludge disposal costs</t>
  </si>
  <si>
    <t>based on scenario 1</t>
  </si>
  <si>
    <t>CSP2 2003 Esimate - Scenario 4</t>
  </si>
  <si>
    <t>CSP2 2003 Esimate - Scenario 3</t>
  </si>
  <si>
    <t>duplicate Ft Knox Rec. Plan captial and operating costs, changes to indirect costs as noted</t>
  </si>
  <si>
    <t>duplicate Tailings Storage Rec. Plan captial and operating costs, changes to indirect costs as noted</t>
  </si>
  <si>
    <t>assess and change reclamation tasks and unit costs as noted, indirect costs from CSP2 scenario 1</t>
  </si>
  <si>
    <t>same assumpitons as CSP2 scenario 2 with 50 years water treatment</t>
  </si>
  <si>
    <t>same assumpitons as CSP2 scenario 2 with 100 years water treatment</t>
  </si>
  <si>
    <t>50 years water treatment plant labor = $483,204/yr*50 yr</t>
  </si>
  <si>
    <t>50 years O&amp;M labor = $40,697/yr*50 yr</t>
  </si>
  <si>
    <t>30 years</t>
  </si>
  <si>
    <t>FORT KNOX MINE TAILING STORAGE RECLAMATION AND CLOSURE - CSP2 SCENARIO 2</t>
  </si>
  <si>
    <t>assumes WQ standards met in 50 years, see attached calculation 50 year treatment scenario</t>
  </si>
  <si>
    <t>assumes WQ standards met in 100 years, see attached calculation 100 year treatment scenario</t>
  </si>
  <si>
    <t>inspections every 5 years for 50 years (11 total), see attached calculation 'Tailing Dam Monitoring'</t>
  </si>
  <si>
    <t>inspections every 5 years for 100 years (21 total), see attached calculation 'Tailing Dam Monitoring'</t>
  </si>
  <si>
    <t>conducted on a 5 year schedule for 50 years (10 total), see attached calculation 'Tailing Dam Maintenance'</t>
  </si>
  <si>
    <t>conducted on a 5 year schedule for 100 years (20 total), see attached calculation 'Tailng Dam Maintenance'</t>
  </si>
  <si>
    <t>FORT KNOX MINE TAILING STORAGE RECLAMATION AND CLOSURE - CSP2 SCENARIO 3</t>
  </si>
  <si>
    <r>
      <t>Total Cost</t>
    </r>
    <r>
      <rPr>
        <sz val="9"/>
        <rFont val="Arial"/>
        <family val="2"/>
      </rPr>
      <t xml:space="preserve"> (Capital + Operating)</t>
    </r>
  </si>
  <si>
    <t>100 years water treatment plant labor = $483,204/yr*100 yr</t>
  </si>
  <si>
    <t>130 years</t>
  </si>
  <si>
    <t>80 years</t>
  </si>
  <si>
    <t>FORT KNOX MINE TAILING STORAGE RECLAMATION AND CLOSURE - CSP2 SCENARIO 4</t>
  </si>
  <si>
    <t>Inflation</t>
  </si>
  <si>
    <t xml:space="preserve">Inflation </t>
  </si>
  <si>
    <t>cost of sulfide ppt. Treatment plant based on CSP2 unit cost of $6535/gpm at 2,500 gpm</t>
  </si>
  <si>
    <t>100 years O&amp;M labor = $40,697/yr*100 yr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</si>
</sst>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"/>
    <numFmt numFmtId="166" formatCode="&quot;$&quot;#,##0.00"/>
    <numFmt numFmtId="167" formatCode="0.0%"/>
    <numFmt numFmtId="168" formatCode="&quot;$&quot;#,##0.0"/>
    <numFmt numFmtId="169" formatCode="&quot;$&quot;#,##0.0_);[Red]\(&quot;$&quot;#,##0.0\)"/>
    <numFmt numFmtId="170" formatCode="&quot;$&quot;#,##0;[Red]&quot;$&quot;#,##0"/>
    <numFmt numFmtId="171" formatCode="&quot;$&quot;#,##0.000_);[Red]\(&quot;$&quot;#,##0.000\)"/>
    <numFmt numFmtId="172" formatCode="&quot;$&quot;#,##0.0000_);[Red]\(&quot;$&quot;#,##0.0000\)"/>
    <numFmt numFmtId="173" formatCode="_(&quot;$&quot;* #,##0.0000_);_(&quot;$&quot;* \(#,##0.0000\);_(&quot;$&quot;* &quot;-&quot;????_);_(@_)"/>
    <numFmt numFmtId="174" formatCode="0.000"/>
    <numFmt numFmtId="175" formatCode="0.0"/>
  </numFmts>
  <fonts count="17">
    <font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color indexed="48"/>
      <name val="Arial"/>
      <family val="2"/>
    </font>
    <font>
      <sz val="9"/>
      <color indexed="53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49"/>
      <name val="Arial"/>
      <family val="2"/>
    </font>
    <font>
      <sz val="8"/>
      <name val="Times New Roman"/>
      <family val="0"/>
    </font>
    <font>
      <sz val="10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/>
    </xf>
    <xf numFmtId="165" fontId="2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5" fontId="2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6" fontId="2" fillId="0" borderId="17" xfId="0" applyNumberFormat="1" applyFont="1" applyBorder="1" applyAlignment="1">
      <alignment/>
    </xf>
    <xf numFmtId="6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6" fontId="2" fillId="0" borderId="21" xfId="0" applyNumberFormat="1" applyFont="1" applyBorder="1" applyAlignment="1">
      <alignment/>
    </xf>
    <xf numFmtId="6" fontId="2" fillId="0" borderId="12" xfId="0" applyNumberFormat="1" applyFont="1" applyBorder="1" applyAlignment="1">
      <alignment/>
    </xf>
    <xf numFmtId="6" fontId="2" fillId="0" borderId="22" xfId="0" applyNumberFormat="1" applyFont="1" applyBorder="1" applyAlignment="1">
      <alignment/>
    </xf>
    <xf numFmtId="6" fontId="2" fillId="0" borderId="0" xfId="0" applyNumberFormat="1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6" fontId="2" fillId="0" borderId="23" xfId="0" applyNumberFormat="1" applyFont="1" applyFill="1" applyBorder="1" applyAlignment="1">
      <alignment/>
    </xf>
    <xf numFmtId="6" fontId="2" fillId="0" borderId="24" xfId="0" applyNumberFormat="1" applyFont="1" applyFill="1" applyBorder="1" applyAlignment="1">
      <alignment/>
    </xf>
    <xf numFmtId="6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6" fontId="2" fillId="0" borderId="0" xfId="0" applyNumberFormat="1" applyFont="1" applyBorder="1" applyAlignment="1">
      <alignment/>
    </xf>
    <xf numFmtId="170" fontId="2" fillId="0" borderId="23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8" xfId="0" applyFont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0" fontId="2" fillId="0" borderId="9" xfId="0" applyFont="1" applyBorder="1" applyAlignment="1">
      <alignment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0" fontId="2" fillId="0" borderId="31" xfId="0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33" xfId="0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/>
    </xf>
    <xf numFmtId="165" fontId="2" fillId="0" borderId="34" xfId="0" applyNumberFormat="1" applyFont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10" xfId="0" applyFont="1" applyFill="1" applyBorder="1" applyAlignment="1">
      <alignment/>
    </xf>
    <xf numFmtId="6" fontId="6" fillId="0" borderId="23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6" fontId="7" fillId="0" borderId="23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/>
    </xf>
    <xf numFmtId="0" fontId="2" fillId="0" borderId="32" xfId="0" applyFont="1" applyFill="1" applyBorder="1" applyAlignment="1">
      <alignment/>
    </xf>
    <xf numFmtId="165" fontId="2" fillId="0" borderId="37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Fill="1" applyBorder="1" applyAlignment="1">
      <alignment/>
    </xf>
    <xf numFmtId="38" fontId="2" fillId="0" borderId="3" xfId="0" applyNumberFormat="1" applyFont="1" applyFill="1" applyBorder="1" applyAlignment="1">
      <alignment/>
    </xf>
    <xf numFmtId="6" fontId="2" fillId="0" borderId="23" xfId="0" applyNumberFormat="1" applyFont="1" applyBorder="1" applyAlignment="1">
      <alignment/>
    </xf>
    <xf numFmtId="165" fontId="2" fillId="0" borderId="39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4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41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/>
    </xf>
    <xf numFmtId="165" fontId="2" fillId="0" borderId="43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2" fillId="0" borderId="4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4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65" fontId="2" fillId="0" borderId="53" xfId="0" applyNumberFormat="1" applyFont="1" applyBorder="1" applyAlignment="1">
      <alignment/>
    </xf>
    <xf numFmtId="0" fontId="2" fillId="0" borderId="52" xfId="0" applyFont="1" applyBorder="1" applyAlignment="1">
      <alignment/>
    </xf>
    <xf numFmtId="165" fontId="2" fillId="0" borderId="54" xfId="0" applyNumberFormat="1" applyFont="1" applyBorder="1" applyAlignment="1">
      <alignment/>
    </xf>
    <xf numFmtId="165" fontId="2" fillId="0" borderId="51" xfId="0" applyNumberFormat="1" applyFont="1" applyBorder="1" applyAlignment="1">
      <alignment/>
    </xf>
    <xf numFmtId="0" fontId="2" fillId="0" borderId="55" xfId="0" applyFont="1" applyBorder="1" applyAlignment="1">
      <alignment/>
    </xf>
    <xf numFmtId="165" fontId="2" fillId="0" borderId="56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2" fillId="0" borderId="46" xfId="0" applyFont="1" applyBorder="1" applyAlignment="1">
      <alignment/>
    </xf>
    <xf numFmtId="6" fontId="2" fillId="0" borderId="24" xfId="0" applyNumberFormat="1" applyFont="1" applyBorder="1" applyAlignment="1">
      <alignment/>
    </xf>
    <xf numFmtId="0" fontId="2" fillId="0" borderId="58" xfId="0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7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6" fontId="2" fillId="0" borderId="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1" xfId="0" applyFont="1" applyBorder="1" applyAlignment="1">
      <alignment/>
    </xf>
    <xf numFmtId="9" fontId="2" fillId="0" borderId="17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9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6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wrapText="1"/>
    </xf>
    <xf numFmtId="167" fontId="2" fillId="0" borderId="67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/>
    </xf>
    <xf numFmtId="6" fontId="2" fillId="0" borderId="68" xfId="0" applyNumberFormat="1" applyFont="1" applyBorder="1" applyAlignment="1">
      <alignment horizontal="right"/>
    </xf>
    <xf numFmtId="6" fontId="2" fillId="0" borderId="69" xfId="0" applyNumberFormat="1" applyFont="1" applyBorder="1" applyAlignment="1">
      <alignment horizontal="right"/>
    </xf>
    <xf numFmtId="165" fontId="2" fillId="0" borderId="0" xfId="0" applyNumberFormat="1" applyFont="1" applyFill="1" applyAlignment="1">
      <alignment/>
    </xf>
    <xf numFmtId="6" fontId="7" fillId="0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6" fontId="2" fillId="0" borderId="70" xfId="0" applyNumberFormat="1" applyFont="1" applyFill="1" applyBorder="1" applyAlignment="1">
      <alignment/>
    </xf>
    <xf numFmtId="49" fontId="2" fillId="0" borderId="8" xfId="0" applyNumberFormat="1" applyFont="1" applyBorder="1" applyAlignment="1">
      <alignment horizontal="center"/>
    </xf>
    <xf numFmtId="165" fontId="2" fillId="0" borderId="35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6" fontId="2" fillId="0" borderId="16" xfId="0" applyNumberFormat="1" applyFont="1" applyBorder="1" applyAlignment="1">
      <alignment/>
    </xf>
    <xf numFmtId="6" fontId="1" fillId="0" borderId="71" xfId="0" applyNumberFormat="1" applyFont="1" applyBorder="1" applyAlignment="1">
      <alignment/>
    </xf>
    <xf numFmtId="6" fontId="2" fillId="0" borderId="47" xfId="0" applyNumberFormat="1" applyFont="1" applyBorder="1" applyAlignment="1">
      <alignment/>
    </xf>
    <xf numFmtId="6" fontId="2" fillId="0" borderId="14" xfId="0" applyNumberFormat="1" applyFont="1" applyBorder="1" applyAlignment="1">
      <alignment/>
    </xf>
    <xf numFmtId="6" fontId="2" fillId="0" borderId="41" xfId="0" applyNumberFormat="1" applyFont="1" applyBorder="1" applyAlignment="1">
      <alignment/>
    </xf>
    <xf numFmtId="6" fontId="1" fillId="0" borderId="13" xfId="0" applyNumberFormat="1" applyFont="1" applyBorder="1" applyAlignment="1">
      <alignment/>
    </xf>
    <xf numFmtId="0" fontId="2" fillId="0" borderId="72" xfId="0" applyFont="1" applyBorder="1" applyAlignment="1">
      <alignment/>
    </xf>
    <xf numFmtId="6" fontId="2" fillId="0" borderId="71" xfId="0" applyNumberFormat="1" applyFont="1" applyBorder="1" applyAlignment="1">
      <alignment/>
    </xf>
    <xf numFmtId="6" fontId="2" fillId="0" borderId="13" xfId="0" applyNumberFormat="1" applyFont="1" applyBorder="1" applyAlignment="1">
      <alignment/>
    </xf>
    <xf numFmtId="6" fontId="2" fillId="0" borderId="54" xfId="0" applyNumberFormat="1" applyFont="1" applyBorder="1" applyAlignment="1">
      <alignment/>
    </xf>
    <xf numFmtId="6" fontId="2" fillId="0" borderId="30" xfId="0" applyNumberFormat="1" applyFont="1" applyBorder="1" applyAlignment="1">
      <alignment/>
    </xf>
    <xf numFmtId="6" fontId="2" fillId="0" borderId="51" xfId="0" applyNumberFormat="1" applyFont="1" applyBorder="1" applyAlignment="1">
      <alignment/>
    </xf>
    <xf numFmtId="6" fontId="2" fillId="0" borderId="50" xfId="0" applyNumberFormat="1" applyFont="1" applyBorder="1" applyAlignment="1">
      <alignment/>
    </xf>
    <xf numFmtId="6" fontId="2" fillId="0" borderId="53" xfId="0" applyNumberFormat="1" applyFont="1" applyBorder="1" applyAlignment="1">
      <alignment/>
    </xf>
    <xf numFmtId="6" fontId="2" fillId="0" borderId="60" xfId="0" applyNumberFormat="1" applyFont="1" applyBorder="1" applyAlignment="1">
      <alignment/>
    </xf>
    <xf numFmtId="165" fontId="2" fillId="0" borderId="48" xfId="0" applyNumberFormat="1" applyFont="1" applyBorder="1" applyAlignment="1">
      <alignment/>
    </xf>
    <xf numFmtId="165" fontId="2" fillId="0" borderId="47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9" fontId="2" fillId="0" borderId="51" xfId="0" applyNumberFormat="1" applyFont="1" applyBorder="1" applyAlignment="1">
      <alignment/>
    </xf>
    <xf numFmtId="165" fontId="2" fillId="0" borderId="50" xfId="0" applyNumberFormat="1" applyFont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6" fontId="2" fillId="0" borderId="76" xfId="0" applyNumberFormat="1" applyFont="1" applyFill="1" applyBorder="1" applyAlignment="1">
      <alignment/>
    </xf>
    <xf numFmtId="165" fontId="2" fillId="0" borderId="76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165" fontId="2" fillId="0" borderId="77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65" fontId="2" fillId="0" borderId="78" xfId="0" applyNumberFormat="1" applyFont="1" applyFill="1" applyBorder="1" applyAlignment="1">
      <alignment/>
    </xf>
    <xf numFmtId="6" fontId="2" fillId="0" borderId="7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6" fontId="6" fillId="0" borderId="76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165" fontId="2" fillId="0" borderId="78" xfId="0" applyNumberFormat="1" applyFont="1" applyBorder="1" applyAlignment="1">
      <alignment/>
    </xf>
    <xf numFmtId="9" fontId="2" fillId="0" borderId="8" xfId="0" applyNumberFormat="1" applyFont="1" applyBorder="1" applyAlignment="1">
      <alignment/>
    </xf>
    <xf numFmtId="165" fontId="2" fillId="0" borderId="76" xfId="0" applyNumberFormat="1" applyFont="1" applyBorder="1" applyAlignment="1">
      <alignment/>
    </xf>
    <xf numFmtId="0" fontId="2" fillId="0" borderId="57" xfId="0" applyFont="1" applyBorder="1" applyAlignment="1">
      <alignment/>
    </xf>
    <xf numFmtId="170" fontId="2" fillId="0" borderId="76" xfId="0" applyNumberFormat="1" applyFont="1" applyBorder="1" applyAlignment="1">
      <alignment/>
    </xf>
    <xf numFmtId="0" fontId="2" fillId="0" borderId="42" xfId="0" applyFont="1" applyBorder="1" applyAlignment="1">
      <alignment/>
    </xf>
    <xf numFmtId="170" fontId="1" fillId="0" borderId="79" xfId="0" applyNumberFormat="1" applyFont="1" applyBorder="1" applyAlignment="1">
      <alignment/>
    </xf>
    <xf numFmtId="3" fontId="2" fillId="0" borderId="49" xfId="0" applyNumberFormat="1" applyFont="1" applyFill="1" applyBorder="1" applyAlignment="1">
      <alignment/>
    </xf>
    <xf numFmtId="165" fontId="2" fillId="0" borderId="49" xfId="0" applyNumberFormat="1" applyFont="1" applyFill="1" applyBorder="1" applyAlignment="1">
      <alignment/>
    </xf>
    <xf numFmtId="6" fontId="2" fillId="0" borderId="78" xfId="0" applyNumberFormat="1" applyFont="1" applyFill="1" applyBorder="1" applyAlignment="1">
      <alignment/>
    </xf>
    <xf numFmtId="165" fontId="1" fillId="0" borderId="80" xfId="0" applyNumberFormat="1" applyFont="1" applyBorder="1" applyAlignment="1">
      <alignment/>
    </xf>
    <xf numFmtId="165" fontId="1" fillId="0" borderId="81" xfId="0" applyNumberFormat="1" applyFont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7" xfId="0" applyFont="1" applyBorder="1" applyAlignment="1">
      <alignment wrapText="1" shrinkToFit="1"/>
    </xf>
    <xf numFmtId="6" fontId="15" fillId="0" borderId="14" xfId="0" applyNumberFormat="1" applyFont="1" applyBorder="1" applyAlignment="1">
      <alignment/>
    </xf>
    <xf numFmtId="6" fontId="15" fillId="0" borderId="16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73" xfId="0" applyNumberFormat="1" applyFont="1" applyBorder="1" applyAlignment="1">
      <alignment/>
    </xf>
    <xf numFmtId="0" fontId="2" fillId="0" borderId="82" xfId="0" applyFont="1" applyBorder="1" applyAlignment="1">
      <alignment/>
    </xf>
    <xf numFmtId="165" fontId="2" fillId="0" borderId="6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83" xfId="0" applyFont="1" applyBorder="1" applyAlignment="1">
      <alignment horizontal="center"/>
    </xf>
    <xf numFmtId="6" fontId="2" fillId="0" borderId="83" xfId="0" applyNumberFormat="1" applyFont="1" applyBorder="1" applyAlignment="1">
      <alignment horizontal="right"/>
    </xf>
    <xf numFmtId="6" fontId="10" fillId="0" borderId="83" xfId="0" applyNumberFormat="1" applyFont="1" applyBorder="1" applyAlignment="1">
      <alignment horizontal="right"/>
    </xf>
    <xf numFmtId="6" fontId="2" fillId="0" borderId="84" xfId="0" applyNumberFormat="1" applyFont="1" applyBorder="1" applyAlignment="1">
      <alignment/>
    </xf>
    <xf numFmtId="6" fontId="2" fillId="0" borderId="84" xfId="20" applyNumberFormat="1" applyFont="1" applyBorder="1" applyAlignment="1">
      <alignment/>
    </xf>
    <xf numFmtId="6" fontId="2" fillId="0" borderId="83" xfId="20" applyNumberFormat="1" applyFont="1" applyBorder="1" applyAlignment="1">
      <alignment/>
    </xf>
    <xf numFmtId="6" fontId="2" fillId="0" borderId="83" xfId="0" applyNumberFormat="1" applyFont="1" applyBorder="1" applyAlignment="1">
      <alignment/>
    </xf>
    <xf numFmtId="6" fontId="2" fillId="0" borderId="83" xfId="0" applyNumberFormat="1" applyFont="1" applyBorder="1" applyAlignment="1">
      <alignment horizontal="left"/>
    </xf>
    <xf numFmtId="0" fontId="2" fillId="0" borderId="83" xfId="0" applyFont="1" applyFill="1" applyBorder="1" applyAlignment="1">
      <alignment/>
    </xf>
    <xf numFmtId="6" fontId="2" fillId="0" borderId="83" xfId="0" applyNumberFormat="1" applyFont="1" applyFill="1" applyBorder="1" applyAlignment="1">
      <alignment horizontal="right"/>
    </xf>
    <xf numFmtId="6" fontId="10" fillId="0" borderId="8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2" fillId="0" borderId="86" xfId="0" applyFont="1" applyBorder="1" applyAlignment="1">
      <alignment/>
    </xf>
    <xf numFmtId="0" fontId="2" fillId="0" borderId="76" xfId="0" applyFont="1" applyFill="1" applyBorder="1" applyAlignment="1">
      <alignment/>
    </xf>
    <xf numFmtId="9" fontId="2" fillId="0" borderId="49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9" fontId="2" fillId="0" borderId="41" xfId="0" applyNumberFormat="1" applyFont="1" applyBorder="1" applyAlignment="1">
      <alignment/>
    </xf>
    <xf numFmtId="6" fontId="2" fillId="0" borderId="77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6" fontId="2" fillId="0" borderId="45" xfId="0" applyNumberFormat="1" applyFont="1" applyBorder="1" applyAlignment="1">
      <alignment/>
    </xf>
    <xf numFmtId="6" fontId="2" fillId="0" borderId="14" xfId="0" applyNumberFormat="1" applyFont="1" applyFill="1" applyBorder="1" applyAlignment="1">
      <alignment/>
    </xf>
    <xf numFmtId="6" fontId="2" fillId="0" borderId="16" xfId="0" applyNumberFormat="1" applyFont="1" applyFill="1" applyBorder="1" applyAlignment="1">
      <alignment/>
    </xf>
    <xf numFmtId="0" fontId="2" fillId="0" borderId="66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67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6" fontId="2" fillId="0" borderId="69" xfId="0" applyNumberFormat="1" applyFont="1" applyFill="1" applyBorder="1" applyAlignment="1">
      <alignment horizontal="right"/>
    </xf>
    <xf numFmtId="6" fontId="2" fillId="0" borderId="88" xfId="0" applyNumberFormat="1" applyFont="1" applyBorder="1" applyAlignment="1">
      <alignment horizontal="right"/>
    </xf>
    <xf numFmtId="6" fontId="10" fillId="0" borderId="88" xfId="0" applyNumberFormat="1" applyFont="1" applyBorder="1" applyAlignment="1">
      <alignment horizontal="right"/>
    </xf>
    <xf numFmtId="6" fontId="2" fillId="0" borderId="88" xfId="0" applyNumberFormat="1" applyFont="1" applyBorder="1" applyAlignment="1">
      <alignment/>
    </xf>
    <xf numFmtId="6" fontId="2" fillId="0" borderId="88" xfId="20" applyNumberFormat="1" applyFont="1" applyBorder="1" applyAlignment="1">
      <alignment/>
    </xf>
    <xf numFmtId="165" fontId="2" fillId="0" borderId="68" xfId="0" applyNumberFormat="1" applyFont="1" applyBorder="1" applyAlignment="1">
      <alignment horizontal="right"/>
    </xf>
    <xf numFmtId="165" fontId="2" fillId="0" borderId="83" xfId="20" applyNumberFormat="1" applyFont="1" applyBorder="1" applyAlignment="1">
      <alignment/>
    </xf>
    <xf numFmtId="165" fontId="0" fillId="0" borderId="83" xfId="0" applyNumberFormat="1" applyBorder="1" applyAlignment="1">
      <alignment/>
    </xf>
    <xf numFmtId="165" fontId="2" fillId="0" borderId="83" xfId="0" applyNumberFormat="1" applyFont="1" applyBorder="1" applyAlignment="1">
      <alignment/>
    </xf>
    <xf numFmtId="165" fontId="2" fillId="0" borderId="88" xfId="0" applyNumberFormat="1" applyFont="1" applyBorder="1" applyAlignment="1">
      <alignment/>
    </xf>
    <xf numFmtId="165" fontId="0" fillId="0" borderId="88" xfId="0" applyNumberFormat="1" applyBorder="1" applyAlignment="1">
      <alignment/>
    </xf>
    <xf numFmtId="0" fontId="2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165" fontId="1" fillId="0" borderId="66" xfId="0" applyNumberFormat="1" applyFont="1" applyBorder="1" applyAlignment="1">
      <alignment horizontal="center"/>
    </xf>
    <xf numFmtId="165" fontId="2" fillId="0" borderId="46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52" xfId="0" applyNumberFormat="1" applyFont="1" applyFill="1" applyBorder="1" applyAlignment="1">
      <alignment/>
    </xf>
    <xf numFmtId="165" fontId="2" fillId="0" borderId="49" xfId="0" applyNumberFormat="1" applyFont="1" applyBorder="1" applyAlignment="1">
      <alignment/>
    </xf>
    <xf numFmtId="165" fontId="2" fillId="0" borderId="57" xfId="0" applyNumberFormat="1" applyFont="1" applyBorder="1" applyAlignment="1">
      <alignment/>
    </xf>
    <xf numFmtId="165" fontId="2" fillId="0" borderId="45" xfId="0" applyNumberFormat="1" applyFont="1" applyBorder="1" applyAlignment="1">
      <alignment/>
    </xf>
    <xf numFmtId="165" fontId="2" fillId="0" borderId="42" xfId="0" applyNumberFormat="1" applyFont="1" applyBorder="1" applyAlignment="1">
      <alignment/>
    </xf>
    <xf numFmtId="165" fontId="2" fillId="0" borderId="41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2" fillId="0" borderId="38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89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4" xfId="0" applyFont="1" applyFill="1" applyBorder="1" applyAlignment="1">
      <alignment wrapText="1"/>
    </xf>
    <xf numFmtId="0" fontId="0" fillId="0" borderId="18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72" xfId="0" applyFont="1" applyBorder="1" applyAlignment="1">
      <alignment horizontal="center" wrapText="1"/>
    </xf>
    <xf numFmtId="0" fontId="1" fillId="0" borderId="94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62" xfId="0" applyFont="1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0" fillId="0" borderId="95" xfId="0" applyFill="1" applyBorder="1" applyAlignment="1">
      <alignment horizontal="center" wrapText="1"/>
    </xf>
    <xf numFmtId="0" fontId="1" fillId="0" borderId="72" xfId="0" applyFont="1" applyFill="1" applyBorder="1" applyAlignment="1">
      <alignment wrapText="1"/>
    </xf>
    <xf numFmtId="0" fontId="1" fillId="0" borderId="72" xfId="0" applyFont="1" applyFill="1" applyBorder="1" applyAlignment="1">
      <alignment horizontal="center" wrapText="1"/>
    </xf>
    <xf numFmtId="0" fontId="1" fillId="0" borderId="72" xfId="0" applyFont="1" applyBorder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hyperlink" Target="mailto:=@npv(L8,K9)" TargetMode="External" /><Relationship Id="rId6" Type="http://schemas.openxmlformats.org/officeDocument/2006/relationships/hyperlink" Target="mailto:=@npv(L8,K9)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hyperlink" Target="mailto:=@npv(L8,K9)" TargetMode="External" /><Relationship Id="rId6" Type="http://schemas.openxmlformats.org/officeDocument/2006/relationships/hyperlink" Target="mailto:=@npv(L8,K9)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hyperlink" Target="mailto:=@npv(L8,K9)" TargetMode="External" /><Relationship Id="rId6" Type="http://schemas.openxmlformats.org/officeDocument/2006/relationships/hyperlink" Target="mailto:=@npv(L8,K9)" TargetMode="Externa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hyperlink" Target="mailto:=@npv(L8,K9)" TargetMode="External" /><Relationship Id="rId6" Type="http://schemas.openxmlformats.org/officeDocument/2006/relationships/hyperlink" Target="mailto:=@npv(L8,K9)" TargetMode="Externa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8"/>
  <sheetViews>
    <sheetView tabSelected="1" zoomScale="75" zoomScaleNormal="75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W134" sqref="W134"/>
    </sheetView>
  </sheetViews>
  <sheetFormatPr defaultColWidth="9.33203125" defaultRowHeight="12.75"/>
  <cols>
    <col min="1" max="1" width="12.33203125" style="68" customWidth="1"/>
    <col min="2" max="2" width="8.83203125" style="10" customWidth="1"/>
    <col min="3" max="5" width="9.33203125" style="10" customWidth="1"/>
    <col min="6" max="6" width="18.66015625" style="10" customWidth="1"/>
    <col min="7" max="7" width="6.83203125" style="10" customWidth="1"/>
    <col min="8" max="8" width="10" style="10" bestFit="1" customWidth="1"/>
    <col min="9" max="9" width="13.66015625" style="10" bestFit="1" customWidth="1"/>
    <col min="10" max="10" width="12.66015625" style="10" bestFit="1" customWidth="1"/>
    <col min="11" max="11" width="14.16015625" style="10" bestFit="1" customWidth="1"/>
    <col min="12" max="12" width="6.33203125" style="10" customWidth="1"/>
    <col min="13" max="13" width="12.33203125" style="10" customWidth="1"/>
    <col min="14" max="14" width="12.66015625" style="14" bestFit="1" customWidth="1"/>
    <col min="15" max="15" width="15.83203125" style="10" customWidth="1"/>
    <col min="16" max="16" width="6.33203125" style="10" customWidth="1"/>
    <col min="17" max="17" width="12.33203125" style="10" customWidth="1"/>
    <col min="18" max="18" width="14.33203125" style="14" customWidth="1"/>
    <col min="19" max="19" width="16.5" style="10" customWidth="1"/>
    <col min="20" max="20" width="6.33203125" style="10" bestFit="1" customWidth="1"/>
    <col min="21" max="21" width="12.33203125" style="10" bestFit="1" customWidth="1"/>
    <col min="22" max="22" width="12.66015625" style="14" bestFit="1" customWidth="1"/>
    <col min="23" max="23" width="15.66015625" style="10" bestFit="1" customWidth="1"/>
    <col min="24" max="24" width="6.33203125" style="10" bestFit="1" customWidth="1"/>
    <col min="25" max="25" width="12.33203125" style="10" bestFit="1" customWidth="1"/>
    <col min="26" max="26" width="12.66015625" style="14" bestFit="1" customWidth="1"/>
    <col min="27" max="27" width="15.66015625" style="10" bestFit="1" customWidth="1"/>
    <col min="28" max="28" width="6.33203125" style="10" bestFit="1" customWidth="1"/>
    <col min="29" max="29" width="12.33203125" style="10" bestFit="1" customWidth="1"/>
    <col min="30" max="30" width="12.66015625" style="14" bestFit="1" customWidth="1"/>
    <col min="31" max="31" width="17" style="10" bestFit="1" customWidth="1"/>
    <col min="32" max="16384" width="9.33203125" style="10" customWidth="1"/>
  </cols>
  <sheetData>
    <row r="1" spans="1:15" ht="12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324"/>
      <c r="O1" s="62"/>
    </row>
    <row r="2" spans="1:15" ht="12">
      <c r="A2" s="30" t="s">
        <v>106</v>
      </c>
      <c r="B2" s="8"/>
      <c r="C2" s="8"/>
      <c r="D2" s="8"/>
      <c r="E2" s="8"/>
      <c r="F2" s="8"/>
      <c r="O2" s="63"/>
    </row>
    <row r="3" spans="1:23" ht="12">
      <c r="A3" s="22"/>
      <c r="O3" s="64"/>
      <c r="S3" s="9"/>
      <c r="W3" s="9"/>
    </row>
    <row r="4" spans="1:7" ht="12.75" thickBot="1">
      <c r="A4" s="22"/>
      <c r="B4" s="123"/>
      <c r="C4" s="123"/>
      <c r="D4" s="123"/>
      <c r="E4" s="123"/>
      <c r="F4" s="123"/>
      <c r="G4" s="123"/>
    </row>
    <row r="5" spans="1:31" ht="12">
      <c r="A5" s="65"/>
      <c r="B5" s="22"/>
      <c r="C5" s="333" t="s">
        <v>1</v>
      </c>
      <c r="D5" s="333"/>
      <c r="E5" s="22"/>
      <c r="F5" s="22"/>
      <c r="G5" s="22"/>
      <c r="H5" s="335" t="s">
        <v>107</v>
      </c>
      <c r="I5" s="336"/>
      <c r="J5" s="336"/>
      <c r="K5" s="336"/>
      <c r="L5" s="336"/>
      <c r="M5" s="336"/>
      <c r="N5" s="336"/>
      <c r="O5" s="337"/>
      <c r="P5" s="336" t="s">
        <v>217</v>
      </c>
      <c r="Q5" s="336"/>
      <c r="R5" s="336"/>
      <c r="S5" s="337"/>
      <c r="T5" s="336" t="s">
        <v>219</v>
      </c>
      <c r="U5" s="336"/>
      <c r="V5" s="336"/>
      <c r="W5" s="336"/>
      <c r="X5" s="330" t="s">
        <v>257</v>
      </c>
      <c r="Y5" s="331"/>
      <c r="Z5" s="331"/>
      <c r="AA5" s="332"/>
      <c r="AB5" s="331" t="s">
        <v>256</v>
      </c>
      <c r="AC5" s="331"/>
      <c r="AD5" s="331"/>
      <c r="AE5" s="332"/>
    </row>
    <row r="6" spans="1:31" ht="12">
      <c r="A6" s="61" t="s">
        <v>2</v>
      </c>
      <c r="B6" s="3"/>
      <c r="C6" s="334"/>
      <c r="D6" s="334"/>
      <c r="E6" s="3"/>
      <c r="F6" s="3"/>
      <c r="G6" s="3"/>
      <c r="H6" s="4" t="s">
        <v>81</v>
      </c>
      <c r="I6" s="5" t="s">
        <v>4</v>
      </c>
      <c r="J6" s="5" t="s">
        <v>5</v>
      </c>
      <c r="K6" s="6" t="s">
        <v>6</v>
      </c>
      <c r="L6" s="7" t="s">
        <v>7</v>
      </c>
      <c r="M6" s="1" t="s">
        <v>8</v>
      </c>
      <c r="N6" s="312" t="s">
        <v>9</v>
      </c>
      <c r="O6" s="278" t="s">
        <v>6</v>
      </c>
      <c r="P6" s="277" t="s">
        <v>7</v>
      </c>
      <c r="Q6" s="1" t="s">
        <v>8</v>
      </c>
      <c r="R6" s="312" t="s">
        <v>9</v>
      </c>
      <c r="S6" s="278" t="s">
        <v>6</v>
      </c>
      <c r="T6" s="277" t="s">
        <v>7</v>
      </c>
      <c r="U6" s="1" t="s">
        <v>8</v>
      </c>
      <c r="V6" s="312" t="s">
        <v>9</v>
      </c>
      <c r="W6" s="278" t="s">
        <v>6</v>
      </c>
      <c r="X6" s="277" t="s">
        <v>7</v>
      </c>
      <c r="Y6" s="1" t="s">
        <v>8</v>
      </c>
      <c r="Z6" s="312" t="s">
        <v>9</v>
      </c>
      <c r="AA6" s="278" t="s">
        <v>6</v>
      </c>
      <c r="AB6" s="277" t="s">
        <v>7</v>
      </c>
      <c r="AC6" s="1" t="s">
        <v>8</v>
      </c>
      <c r="AD6" s="312" t="s">
        <v>9</v>
      </c>
      <c r="AE6" s="278" t="s">
        <v>6</v>
      </c>
    </row>
    <row r="7" spans="1:31" ht="12">
      <c r="A7" s="13"/>
      <c r="H7" s="18"/>
      <c r="I7" s="14"/>
      <c r="J7" s="14"/>
      <c r="K7" s="14"/>
      <c r="L7" s="13"/>
      <c r="N7" s="238"/>
      <c r="O7" s="230"/>
      <c r="P7" s="119"/>
      <c r="R7" s="238"/>
      <c r="S7" s="229"/>
      <c r="T7" s="279"/>
      <c r="U7" s="161"/>
      <c r="V7" s="313"/>
      <c r="W7" s="229"/>
      <c r="X7" s="228"/>
      <c r="Y7" s="161"/>
      <c r="Z7" s="313"/>
      <c r="AA7" s="229"/>
      <c r="AB7" s="279"/>
      <c r="AC7" s="161"/>
      <c r="AD7" s="313"/>
      <c r="AE7" s="229"/>
    </row>
    <row r="8" spans="1:31" ht="12">
      <c r="A8" s="69">
        <v>1</v>
      </c>
      <c r="B8" s="8" t="s">
        <v>22</v>
      </c>
      <c r="C8" s="8"/>
      <c r="D8" s="8"/>
      <c r="H8" s="18"/>
      <c r="I8" s="14"/>
      <c r="J8" s="14"/>
      <c r="K8" s="14"/>
      <c r="L8" s="23"/>
      <c r="M8" s="70"/>
      <c r="N8" s="314"/>
      <c r="O8" s="71"/>
      <c r="P8" s="23"/>
      <c r="Q8" s="70"/>
      <c r="R8" s="314"/>
      <c r="S8" s="280"/>
      <c r="T8" s="13"/>
      <c r="U8" s="67"/>
      <c r="V8" s="238"/>
      <c r="W8" s="230"/>
      <c r="X8" s="13"/>
      <c r="Y8" s="67"/>
      <c r="Z8" s="238"/>
      <c r="AA8" s="230"/>
      <c r="AB8" s="13"/>
      <c r="AC8" s="67"/>
      <c r="AD8" s="238"/>
      <c r="AE8" s="230"/>
    </row>
    <row r="9" spans="1:31" ht="12">
      <c r="A9" s="69" t="s">
        <v>147</v>
      </c>
      <c r="B9" s="10" t="s">
        <v>119</v>
      </c>
      <c r="D9" s="8"/>
      <c r="H9" s="18"/>
      <c r="I9" s="14"/>
      <c r="J9" s="14"/>
      <c r="K9" s="14"/>
      <c r="L9" s="23"/>
      <c r="M9" s="70"/>
      <c r="N9" s="314"/>
      <c r="O9" s="58"/>
      <c r="P9" s="23"/>
      <c r="Q9" s="70"/>
      <c r="R9" s="314"/>
      <c r="S9" s="232"/>
      <c r="T9" s="13"/>
      <c r="U9" s="67"/>
      <c r="V9" s="238"/>
      <c r="W9" s="230"/>
      <c r="X9" s="13"/>
      <c r="Y9" s="67"/>
      <c r="Z9" s="238"/>
      <c r="AA9" s="230"/>
      <c r="AB9" s="13"/>
      <c r="AC9" s="67"/>
      <c r="AD9" s="238"/>
      <c r="AE9" s="230"/>
    </row>
    <row r="10" spans="1:31" ht="12">
      <c r="A10" s="69"/>
      <c r="C10" s="10" t="s">
        <v>11</v>
      </c>
      <c r="H10" s="18"/>
      <c r="I10" s="14"/>
      <c r="J10" s="14"/>
      <c r="K10" s="14"/>
      <c r="L10" s="23"/>
      <c r="M10" s="70"/>
      <c r="N10" s="314"/>
      <c r="O10" s="55"/>
      <c r="P10" s="23"/>
      <c r="Q10" s="70"/>
      <c r="R10" s="314"/>
      <c r="S10" s="55"/>
      <c r="T10" s="13"/>
      <c r="U10" s="67"/>
      <c r="V10" s="238"/>
      <c r="W10" s="230"/>
      <c r="X10" s="13"/>
      <c r="Y10" s="67"/>
      <c r="Z10" s="238"/>
      <c r="AA10" s="230"/>
      <c r="AB10" s="13"/>
      <c r="AC10" s="67"/>
      <c r="AD10" s="238"/>
      <c r="AE10" s="230"/>
    </row>
    <row r="11" spans="1:31" ht="12">
      <c r="A11" s="69" t="s">
        <v>148</v>
      </c>
      <c r="D11" s="10" t="s">
        <v>12</v>
      </c>
      <c r="H11" s="18">
        <f>76524*0.41</f>
        <v>31374.839999999997</v>
      </c>
      <c r="I11" s="14">
        <f>4458+38141+4367+3366</f>
        <v>50332</v>
      </c>
      <c r="J11" s="14"/>
      <c r="K11" s="14">
        <f>H11+I11+J11</f>
        <v>81706.84</v>
      </c>
      <c r="L11" s="23" t="s">
        <v>10</v>
      </c>
      <c r="M11" s="70">
        <v>36</v>
      </c>
      <c r="N11" s="314">
        <f>O11/M11</f>
        <v>2269.6344444444444</v>
      </c>
      <c r="O11" s="55">
        <f>K11</f>
        <v>81706.84</v>
      </c>
      <c r="P11" s="23" t="s">
        <v>10</v>
      </c>
      <c r="Q11" s="70">
        <v>36</v>
      </c>
      <c r="R11" s="314">
        <f>S11/Q11</f>
        <v>2269.6344444444444</v>
      </c>
      <c r="S11" s="55">
        <f>O11</f>
        <v>81706.84</v>
      </c>
      <c r="T11" s="23" t="s">
        <v>10</v>
      </c>
      <c r="U11" s="198">
        <v>36</v>
      </c>
      <c r="V11" s="314">
        <f>N11*1.5</f>
        <v>3404.451666666667</v>
      </c>
      <c r="W11" s="231">
        <f>U11*V11</f>
        <v>122560.26000000001</v>
      </c>
      <c r="X11" s="23" t="s">
        <v>10</v>
      </c>
      <c r="Y11" s="198">
        <v>36</v>
      </c>
      <c r="Z11" s="314">
        <f>R11*1.5</f>
        <v>3404.451666666667</v>
      </c>
      <c r="AA11" s="231">
        <f>Y11*Z11</f>
        <v>122560.26000000001</v>
      </c>
      <c r="AB11" s="23" t="s">
        <v>10</v>
      </c>
      <c r="AC11" s="198">
        <v>36</v>
      </c>
      <c r="AD11" s="314">
        <f>R11*1.5</f>
        <v>3404.451666666667</v>
      </c>
      <c r="AE11" s="231">
        <f>AC11*AD11</f>
        <v>122560.26000000001</v>
      </c>
    </row>
    <row r="12" spans="1:31" ht="12">
      <c r="A12" s="69" t="s">
        <v>149</v>
      </c>
      <c r="D12" s="10" t="s">
        <v>13</v>
      </c>
      <c r="H12" s="18"/>
      <c r="I12" s="14"/>
      <c r="J12" s="14"/>
      <c r="K12" s="14"/>
      <c r="L12" s="23"/>
      <c r="M12" s="70"/>
      <c r="N12" s="314"/>
      <c r="O12" s="55"/>
      <c r="P12" s="23"/>
      <c r="Q12" s="70"/>
      <c r="R12" s="314"/>
      <c r="S12" s="55"/>
      <c r="T12" s="23"/>
      <c r="U12" s="198"/>
      <c r="V12" s="314"/>
      <c r="W12" s="231"/>
      <c r="X12" s="23"/>
      <c r="Y12" s="198"/>
      <c r="Z12" s="314"/>
      <c r="AA12" s="231"/>
      <c r="AB12" s="23"/>
      <c r="AC12" s="198"/>
      <c r="AD12" s="314"/>
      <c r="AE12" s="231"/>
    </row>
    <row r="13" spans="1:31" ht="12">
      <c r="A13" s="69" t="s">
        <v>150</v>
      </c>
      <c r="D13" s="10" t="s">
        <v>14</v>
      </c>
      <c r="H13" s="18"/>
      <c r="I13" s="14"/>
      <c r="J13" s="14"/>
      <c r="K13" s="14"/>
      <c r="L13" s="23"/>
      <c r="M13" s="70"/>
      <c r="N13" s="314"/>
      <c r="O13" s="55"/>
      <c r="P13" s="23"/>
      <c r="Q13" s="70"/>
      <c r="R13" s="314"/>
      <c r="S13" s="55"/>
      <c r="T13" s="23"/>
      <c r="U13" s="198"/>
      <c r="V13" s="314"/>
      <c r="W13" s="231"/>
      <c r="X13" s="23"/>
      <c r="Y13" s="198"/>
      <c r="Z13" s="314"/>
      <c r="AA13" s="231"/>
      <c r="AB13" s="23"/>
      <c r="AC13" s="198"/>
      <c r="AD13" s="314"/>
      <c r="AE13" s="231"/>
    </row>
    <row r="14" spans="1:31" ht="12">
      <c r="A14" s="69" t="s">
        <v>151</v>
      </c>
      <c r="D14" s="10" t="s">
        <v>15</v>
      </c>
      <c r="H14" s="18"/>
      <c r="I14" s="14"/>
      <c r="J14" s="14"/>
      <c r="K14" s="14"/>
      <c r="L14" s="23"/>
      <c r="M14" s="70"/>
      <c r="N14" s="314"/>
      <c r="O14" s="55"/>
      <c r="P14" s="23"/>
      <c r="Q14" s="70"/>
      <c r="R14" s="314"/>
      <c r="S14" s="55"/>
      <c r="T14" s="23"/>
      <c r="U14" s="198"/>
      <c r="V14" s="314"/>
      <c r="W14" s="231"/>
      <c r="X14" s="23"/>
      <c r="Y14" s="198"/>
      <c r="Z14" s="314"/>
      <c r="AA14" s="231"/>
      <c r="AB14" s="23"/>
      <c r="AC14" s="198"/>
      <c r="AD14" s="314"/>
      <c r="AE14" s="231"/>
    </row>
    <row r="15" spans="1:31" ht="12">
      <c r="A15" s="69"/>
      <c r="C15" s="10" t="s">
        <v>16</v>
      </c>
      <c r="H15" s="18"/>
      <c r="I15" s="14"/>
      <c r="J15" s="14"/>
      <c r="K15" s="14"/>
      <c r="L15" s="23"/>
      <c r="M15" s="70"/>
      <c r="N15" s="314"/>
      <c r="O15" s="55"/>
      <c r="P15" s="23"/>
      <c r="Q15" s="70"/>
      <c r="R15" s="314"/>
      <c r="S15" s="55"/>
      <c r="T15" s="23"/>
      <c r="U15" s="198"/>
      <c r="V15" s="314"/>
      <c r="W15" s="231"/>
      <c r="X15" s="23"/>
      <c r="Y15" s="198"/>
      <c r="Z15" s="314"/>
      <c r="AA15" s="231"/>
      <c r="AB15" s="23"/>
      <c r="AC15" s="198"/>
      <c r="AD15" s="314"/>
      <c r="AE15" s="231"/>
    </row>
    <row r="16" spans="1:31" ht="12">
      <c r="A16" s="69" t="s">
        <v>152</v>
      </c>
      <c r="D16" s="10" t="s">
        <v>12</v>
      </c>
      <c r="H16" s="18">
        <f>76524*0.59</f>
        <v>45149.159999999996</v>
      </c>
      <c r="I16" s="14">
        <f>185736+54724+20394+15716</f>
        <v>276570</v>
      </c>
      <c r="J16" s="14"/>
      <c r="K16" s="14">
        <f>H16+I16+J16</f>
        <v>321719.16</v>
      </c>
      <c r="L16" s="23" t="s">
        <v>10</v>
      </c>
      <c r="M16" s="70">
        <v>52</v>
      </c>
      <c r="N16" s="314">
        <f>O16/M16</f>
        <v>6186.906923076923</v>
      </c>
      <c r="O16" s="55">
        <f>K16</f>
        <v>321719.16</v>
      </c>
      <c r="P16" s="23" t="s">
        <v>10</v>
      </c>
      <c r="Q16" s="70">
        <v>52</v>
      </c>
      <c r="R16" s="314">
        <f>S16/Q16</f>
        <v>6186.906923076923</v>
      </c>
      <c r="S16" s="55">
        <f>O16</f>
        <v>321719.16</v>
      </c>
      <c r="T16" s="23" t="s">
        <v>10</v>
      </c>
      <c r="U16" s="198">
        <v>52</v>
      </c>
      <c r="V16" s="314">
        <f>N16*1.5</f>
        <v>9280.360384615384</v>
      </c>
      <c r="W16" s="231">
        <f>U16*V16</f>
        <v>482578.73999999993</v>
      </c>
      <c r="X16" s="23" t="s">
        <v>10</v>
      </c>
      <c r="Y16" s="198">
        <v>52</v>
      </c>
      <c r="Z16" s="314">
        <f>R16*1.5</f>
        <v>9280.360384615384</v>
      </c>
      <c r="AA16" s="231">
        <f>Y16*Z16</f>
        <v>482578.73999999993</v>
      </c>
      <c r="AB16" s="23" t="s">
        <v>10</v>
      </c>
      <c r="AC16" s="198">
        <v>52</v>
      </c>
      <c r="AD16" s="314">
        <f>R16*1.5</f>
        <v>9280.360384615384</v>
      </c>
      <c r="AE16" s="231">
        <f>AC16*AD16</f>
        <v>482578.73999999993</v>
      </c>
    </row>
    <row r="17" spans="1:31" ht="12">
      <c r="A17" s="69" t="s">
        <v>153</v>
      </c>
      <c r="D17" s="10" t="s">
        <v>13</v>
      </c>
      <c r="H17" s="18"/>
      <c r="I17" s="14"/>
      <c r="J17" s="14"/>
      <c r="K17" s="14"/>
      <c r="L17" s="23"/>
      <c r="M17" s="70"/>
      <c r="N17" s="314"/>
      <c r="O17" s="55"/>
      <c r="P17" s="23"/>
      <c r="Q17" s="70"/>
      <c r="R17" s="314"/>
      <c r="S17" s="55"/>
      <c r="T17" s="23"/>
      <c r="U17" s="198"/>
      <c r="V17" s="314"/>
      <c r="W17" s="231"/>
      <c r="X17" s="23"/>
      <c r="Y17" s="198"/>
      <c r="Z17" s="314"/>
      <c r="AA17" s="231"/>
      <c r="AB17" s="23"/>
      <c r="AC17" s="198"/>
      <c r="AD17" s="314"/>
      <c r="AE17" s="231"/>
    </row>
    <row r="18" spans="1:31" ht="12">
      <c r="A18" s="69" t="s">
        <v>154</v>
      </c>
      <c r="D18" s="10" t="s">
        <v>14</v>
      </c>
      <c r="H18" s="18"/>
      <c r="I18" s="14"/>
      <c r="J18" s="14"/>
      <c r="K18" s="14"/>
      <c r="L18" s="23"/>
      <c r="M18" s="70"/>
      <c r="N18" s="314"/>
      <c r="O18" s="55"/>
      <c r="P18" s="23"/>
      <c r="Q18" s="70"/>
      <c r="R18" s="314"/>
      <c r="S18" s="55"/>
      <c r="T18" s="23"/>
      <c r="U18" s="198"/>
      <c r="V18" s="314"/>
      <c r="W18" s="231"/>
      <c r="X18" s="23"/>
      <c r="Y18" s="198"/>
      <c r="Z18" s="314"/>
      <c r="AA18" s="231"/>
      <c r="AB18" s="23"/>
      <c r="AC18" s="198"/>
      <c r="AD18" s="314"/>
      <c r="AE18" s="231"/>
    </row>
    <row r="19" spans="1:31" ht="12">
      <c r="A19" s="69" t="s">
        <v>155</v>
      </c>
      <c r="D19" s="10" t="s">
        <v>15</v>
      </c>
      <c r="H19" s="18"/>
      <c r="I19" s="14"/>
      <c r="J19" s="14"/>
      <c r="K19" s="14"/>
      <c r="L19" s="23"/>
      <c r="M19" s="70"/>
      <c r="N19" s="314"/>
      <c r="O19" s="55"/>
      <c r="P19" s="23"/>
      <c r="Q19" s="70"/>
      <c r="R19" s="314"/>
      <c r="S19" s="55"/>
      <c r="T19" s="23"/>
      <c r="U19" s="198"/>
      <c r="V19" s="314"/>
      <c r="W19" s="231"/>
      <c r="X19" s="23"/>
      <c r="Y19" s="198"/>
      <c r="Z19" s="314"/>
      <c r="AA19" s="231"/>
      <c r="AB19" s="23"/>
      <c r="AC19" s="198"/>
      <c r="AD19" s="314"/>
      <c r="AE19" s="231"/>
    </row>
    <row r="20" spans="1:31" ht="12">
      <c r="A20" s="69"/>
      <c r="C20" s="10" t="s">
        <v>17</v>
      </c>
      <c r="H20" s="18">
        <f>SUM(H9:H19)</f>
        <v>76524</v>
      </c>
      <c r="I20" s="37">
        <f>SUM(I9:I19)</f>
        <v>326902</v>
      </c>
      <c r="J20" s="37">
        <f>SUM(J9:J19)</f>
        <v>0</v>
      </c>
      <c r="K20" s="37">
        <f>SUM(K9:K19)</f>
        <v>403426</v>
      </c>
      <c r="L20" s="276" t="s">
        <v>10</v>
      </c>
      <c r="M20" s="239">
        <f>SUM(M9:M19)</f>
        <v>88</v>
      </c>
      <c r="N20" s="314">
        <f>O20/M20</f>
        <v>4584.386363636364</v>
      </c>
      <c r="O20" s="55">
        <f>SUM(O9:O19)</f>
        <v>403426</v>
      </c>
      <c r="P20" s="23" t="s">
        <v>10</v>
      </c>
      <c r="Q20" s="70">
        <f>SUM(Q9:Q19)</f>
        <v>88</v>
      </c>
      <c r="R20" s="314">
        <f>S20/Q20</f>
        <v>4584.386363636364</v>
      </c>
      <c r="S20" s="55">
        <f>SUM(S9:S19)</f>
        <v>403426</v>
      </c>
      <c r="T20" s="23" t="s">
        <v>10</v>
      </c>
      <c r="U20" s="198">
        <f>SUM(U9:U19)</f>
        <v>88</v>
      </c>
      <c r="V20" s="314">
        <f>W20/U20</f>
        <v>6876.579545454545</v>
      </c>
      <c r="W20" s="231">
        <f>SUM(W9:W19)</f>
        <v>605139</v>
      </c>
      <c r="X20" s="23" t="s">
        <v>10</v>
      </c>
      <c r="Y20" s="198">
        <f>SUM(Y9:Y19)</f>
        <v>88</v>
      </c>
      <c r="Z20" s="314">
        <f>AA20/Y20</f>
        <v>6876.579545454545</v>
      </c>
      <c r="AA20" s="231">
        <f>SUM(AA9:AA19)</f>
        <v>605139</v>
      </c>
      <c r="AB20" s="23" t="s">
        <v>10</v>
      </c>
      <c r="AC20" s="198">
        <f>SUM(AC9:AC19)</f>
        <v>88</v>
      </c>
      <c r="AD20" s="314">
        <f>AE20/AC20</f>
        <v>6876.579545454545</v>
      </c>
      <c r="AE20" s="231">
        <f>SUM(AE9:AE19)</f>
        <v>605139</v>
      </c>
    </row>
    <row r="21" spans="1:31" ht="12">
      <c r="A21" s="69"/>
      <c r="C21" s="10" t="s">
        <v>11</v>
      </c>
      <c r="H21" s="18"/>
      <c r="I21" s="14"/>
      <c r="J21" s="14"/>
      <c r="K21" s="14"/>
      <c r="L21" s="23"/>
      <c r="M21" s="70"/>
      <c r="N21" s="314"/>
      <c r="O21" s="55"/>
      <c r="P21" s="23"/>
      <c r="Q21" s="70"/>
      <c r="R21" s="314"/>
      <c r="S21" s="55"/>
      <c r="T21" s="23"/>
      <c r="U21" s="198"/>
      <c r="V21" s="314"/>
      <c r="W21" s="231"/>
      <c r="X21" s="23"/>
      <c r="Y21" s="198"/>
      <c r="Z21" s="314"/>
      <c r="AA21" s="231"/>
      <c r="AB21" s="23"/>
      <c r="AC21" s="198"/>
      <c r="AD21" s="314"/>
      <c r="AE21" s="231"/>
    </row>
    <row r="22" spans="1:31" ht="12">
      <c r="A22" s="69" t="s">
        <v>156</v>
      </c>
      <c r="D22" s="10" t="s">
        <v>18</v>
      </c>
      <c r="H22" s="18"/>
      <c r="I22" s="14"/>
      <c r="J22" s="14"/>
      <c r="K22" s="14"/>
      <c r="L22" s="23"/>
      <c r="M22" s="70"/>
      <c r="N22" s="314"/>
      <c r="O22" s="55"/>
      <c r="P22" s="23"/>
      <c r="Q22" s="70"/>
      <c r="R22" s="314"/>
      <c r="S22" s="55"/>
      <c r="T22" s="23"/>
      <c r="U22" s="198"/>
      <c r="V22" s="314"/>
      <c r="W22" s="231"/>
      <c r="X22" s="23"/>
      <c r="Y22" s="198"/>
      <c r="Z22" s="314"/>
      <c r="AA22" s="231"/>
      <c r="AB22" s="23"/>
      <c r="AC22" s="198"/>
      <c r="AD22" s="314"/>
      <c r="AE22" s="231"/>
    </row>
    <row r="23" spans="1:31" ht="12">
      <c r="A23" s="69" t="s">
        <v>157</v>
      </c>
      <c r="D23" s="10" t="s">
        <v>19</v>
      </c>
      <c r="H23" s="18"/>
      <c r="I23" s="14">
        <f>2229+1930</f>
        <v>4159</v>
      </c>
      <c r="J23" s="14">
        <f>9459*0.41</f>
        <v>3878.1899999999996</v>
      </c>
      <c r="K23" s="14">
        <f>H23+I23+J23</f>
        <v>8037.19</v>
      </c>
      <c r="L23" s="23" t="s">
        <v>10</v>
      </c>
      <c r="M23" s="70">
        <v>36</v>
      </c>
      <c r="N23" s="314">
        <f>O23/M23</f>
        <v>223.25527777777776</v>
      </c>
      <c r="O23" s="55">
        <f>K23</f>
        <v>8037.19</v>
      </c>
      <c r="P23" s="23" t="s">
        <v>10</v>
      </c>
      <c r="Q23" s="70">
        <v>36</v>
      </c>
      <c r="R23" s="314">
        <f>S23/Q23</f>
        <v>223.25527777777776</v>
      </c>
      <c r="S23" s="55">
        <f>O23</f>
        <v>8037.19</v>
      </c>
      <c r="T23" s="23" t="s">
        <v>10</v>
      </c>
      <c r="U23" s="198">
        <v>36</v>
      </c>
      <c r="V23" s="314">
        <v>1500</v>
      </c>
      <c r="W23" s="231">
        <f>U23*V23</f>
        <v>54000</v>
      </c>
      <c r="X23" s="23" t="s">
        <v>10</v>
      </c>
      <c r="Y23" s="198">
        <v>36</v>
      </c>
      <c r="Z23" s="314">
        <v>1500</v>
      </c>
      <c r="AA23" s="231">
        <f>Y23*Z23</f>
        <v>54000</v>
      </c>
      <c r="AB23" s="23" t="s">
        <v>10</v>
      </c>
      <c r="AC23" s="198">
        <v>36</v>
      </c>
      <c r="AD23" s="314">
        <v>1500</v>
      </c>
      <c r="AE23" s="231">
        <f>AC23*AD23</f>
        <v>54000</v>
      </c>
    </row>
    <row r="24" spans="1:31" ht="12">
      <c r="A24" s="69"/>
      <c r="C24" s="10" t="s">
        <v>16</v>
      </c>
      <c r="H24" s="18"/>
      <c r="I24" s="14"/>
      <c r="J24" s="14"/>
      <c r="K24" s="14"/>
      <c r="L24" s="23"/>
      <c r="M24" s="70"/>
      <c r="N24" s="314"/>
      <c r="O24" s="55"/>
      <c r="P24" s="23"/>
      <c r="Q24" s="70"/>
      <c r="R24" s="314"/>
      <c r="S24" s="55"/>
      <c r="T24" s="23"/>
      <c r="U24" s="198"/>
      <c r="V24" s="314"/>
      <c r="W24" s="231"/>
      <c r="X24" s="23"/>
      <c r="Y24" s="198"/>
      <c r="Z24" s="314"/>
      <c r="AA24" s="231"/>
      <c r="AB24" s="23"/>
      <c r="AC24" s="198"/>
      <c r="AD24" s="314"/>
      <c r="AE24" s="231"/>
    </row>
    <row r="25" spans="1:31" ht="12">
      <c r="A25" s="69" t="s">
        <v>158</v>
      </c>
      <c r="D25" s="10" t="s">
        <v>18</v>
      </c>
      <c r="H25" s="18"/>
      <c r="I25" s="14"/>
      <c r="J25" s="14"/>
      <c r="K25" s="14"/>
      <c r="L25" s="23"/>
      <c r="M25" s="70"/>
      <c r="N25" s="314"/>
      <c r="O25" s="55"/>
      <c r="P25" s="23"/>
      <c r="Q25" s="70"/>
      <c r="R25" s="314"/>
      <c r="S25" s="55"/>
      <c r="T25" s="23"/>
      <c r="U25" s="198"/>
      <c r="V25" s="314"/>
      <c r="W25" s="231"/>
      <c r="X25" s="23"/>
      <c r="Y25" s="198"/>
      <c r="Z25" s="314"/>
      <c r="AA25" s="231"/>
      <c r="AB25" s="23"/>
      <c r="AC25" s="198"/>
      <c r="AD25" s="314"/>
      <c r="AE25" s="231"/>
    </row>
    <row r="26" spans="1:31" ht="12">
      <c r="A26" s="69" t="s">
        <v>159</v>
      </c>
      <c r="D26" s="10" t="s">
        <v>20</v>
      </c>
      <c r="H26" s="72"/>
      <c r="I26" s="14">
        <f>3219+2788</f>
        <v>6007</v>
      </c>
      <c r="J26" s="14">
        <f>9459*0.59</f>
        <v>5580.8099999999995</v>
      </c>
      <c r="K26" s="14">
        <f>H26+I26+J26</f>
        <v>11587.81</v>
      </c>
      <c r="L26" s="23" t="s">
        <v>10</v>
      </c>
      <c r="M26" s="70">
        <v>52</v>
      </c>
      <c r="N26" s="314">
        <f>O26/M26</f>
        <v>222.8425</v>
      </c>
      <c r="O26" s="55">
        <f>K26</f>
        <v>11587.81</v>
      </c>
      <c r="P26" s="23" t="s">
        <v>10</v>
      </c>
      <c r="Q26" s="70">
        <v>52</v>
      </c>
      <c r="R26" s="314">
        <f>S26/Q26</f>
        <v>222.8425</v>
      </c>
      <c r="S26" s="55">
        <f>O26</f>
        <v>11587.81</v>
      </c>
      <c r="T26" s="23" t="s">
        <v>10</v>
      </c>
      <c r="U26" s="198">
        <v>52</v>
      </c>
      <c r="V26" s="314">
        <v>2500</v>
      </c>
      <c r="W26" s="231">
        <f>U26*V26</f>
        <v>130000</v>
      </c>
      <c r="X26" s="23" t="s">
        <v>10</v>
      </c>
      <c r="Y26" s="198">
        <v>52</v>
      </c>
      <c r="Z26" s="314">
        <v>2500</v>
      </c>
      <c r="AA26" s="231">
        <f>Y26*Z26</f>
        <v>130000</v>
      </c>
      <c r="AB26" s="23" t="s">
        <v>10</v>
      </c>
      <c r="AC26" s="198">
        <v>52</v>
      </c>
      <c r="AD26" s="314">
        <v>2500</v>
      </c>
      <c r="AE26" s="231">
        <f>AC26*AD26</f>
        <v>130000</v>
      </c>
    </row>
    <row r="27" spans="1:31" ht="12">
      <c r="A27" s="69"/>
      <c r="C27" s="10" t="s">
        <v>21</v>
      </c>
      <c r="H27" s="18">
        <f>SUM(H21:H26)</f>
        <v>0</v>
      </c>
      <c r="I27" s="37">
        <f>SUM(I21:I26)</f>
        <v>10166</v>
      </c>
      <c r="J27" s="37">
        <f>SUM(J21:J26)</f>
        <v>9459</v>
      </c>
      <c r="K27" s="37">
        <f>SUM(K21:K26)</f>
        <v>19625</v>
      </c>
      <c r="L27" s="23" t="s">
        <v>10</v>
      </c>
      <c r="M27" s="70">
        <f>SUM(M21:M26)</f>
        <v>88</v>
      </c>
      <c r="N27" s="314">
        <f>O27/M27</f>
        <v>223.01136363636363</v>
      </c>
      <c r="O27" s="37">
        <f>SUM(O21:O26)</f>
        <v>19625</v>
      </c>
      <c r="P27" s="23" t="s">
        <v>10</v>
      </c>
      <c r="Q27" s="70">
        <f>SUM(Q21:Q26)</f>
        <v>88</v>
      </c>
      <c r="R27" s="314">
        <f>S27/Q27</f>
        <v>223.01136363636363</v>
      </c>
      <c r="S27" s="58">
        <f>SUM(S21:S26)</f>
        <v>19625</v>
      </c>
      <c r="T27" s="23" t="s">
        <v>10</v>
      </c>
      <c r="U27" s="198">
        <f>SUM(U21:U26)</f>
        <v>88</v>
      </c>
      <c r="V27" s="314">
        <f>W27/U27</f>
        <v>2090.909090909091</v>
      </c>
      <c r="W27" s="232">
        <f>SUM(W21:W26)</f>
        <v>184000</v>
      </c>
      <c r="X27" s="23" t="s">
        <v>10</v>
      </c>
      <c r="Y27" s="198">
        <f>SUM(Y21:Y26)</f>
        <v>88</v>
      </c>
      <c r="Z27" s="314">
        <f>AA27/Y27</f>
        <v>2090.909090909091</v>
      </c>
      <c r="AA27" s="232">
        <f>SUM(AA21:AA26)</f>
        <v>184000</v>
      </c>
      <c r="AB27" s="23" t="s">
        <v>10</v>
      </c>
      <c r="AC27" s="198">
        <f>SUM(AC21:AC26)</f>
        <v>88</v>
      </c>
      <c r="AD27" s="314">
        <f>AE27/AC27</f>
        <v>2090.909090909091</v>
      </c>
      <c r="AE27" s="232">
        <f>SUM(AE21:AE26)</f>
        <v>184000</v>
      </c>
    </row>
    <row r="28" spans="1:31" ht="12">
      <c r="A28" s="69"/>
      <c r="B28" s="10" t="s">
        <v>120</v>
      </c>
      <c r="H28" s="18">
        <f>H20+H27</f>
        <v>76524</v>
      </c>
      <c r="I28" s="37">
        <f>I20+I27</f>
        <v>337068</v>
      </c>
      <c r="J28" s="37">
        <f>J20+J27</f>
        <v>9459</v>
      </c>
      <c r="K28" s="26">
        <f>K20+K27</f>
        <v>423051</v>
      </c>
      <c r="L28" s="23" t="s">
        <v>10</v>
      </c>
      <c r="M28" s="70">
        <f>M11+M16</f>
        <v>88</v>
      </c>
      <c r="N28" s="314">
        <f>O28/M28</f>
        <v>4807.397727272727</v>
      </c>
      <c r="O28" s="58">
        <f>O20+O27</f>
        <v>423051</v>
      </c>
      <c r="P28" s="23" t="s">
        <v>10</v>
      </c>
      <c r="Q28" s="70">
        <f>Q11+Q16</f>
        <v>88</v>
      </c>
      <c r="R28" s="314">
        <f>S28/Q28</f>
        <v>4807.397727272727</v>
      </c>
      <c r="S28" s="58">
        <f>S20+S27</f>
        <v>423051</v>
      </c>
      <c r="T28" s="23" t="s">
        <v>10</v>
      </c>
      <c r="U28" s="198">
        <f>U11+U16</f>
        <v>88</v>
      </c>
      <c r="V28" s="314">
        <f>W28/U28</f>
        <v>8967.488636363636</v>
      </c>
      <c r="W28" s="232">
        <f>W20+W27</f>
        <v>789139</v>
      </c>
      <c r="X28" s="23" t="s">
        <v>10</v>
      </c>
      <c r="Y28" s="198">
        <f>Y11+Y16</f>
        <v>88</v>
      </c>
      <c r="Z28" s="314">
        <f>AA28/Y28</f>
        <v>8967.488636363636</v>
      </c>
      <c r="AA28" s="232">
        <f>AA20+AA27</f>
        <v>789139</v>
      </c>
      <c r="AB28" s="23" t="s">
        <v>10</v>
      </c>
      <c r="AC28" s="198">
        <f>AC11+AC16</f>
        <v>88</v>
      </c>
      <c r="AD28" s="314">
        <f>AE28/AC28</f>
        <v>8967.488636363636</v>
      </c>
      <c r="AE28" s="232">
        <f>AE20+AE27</f>
        <v>789139</v>
      </c>
    </row>
    <row r="29" spans="1:31" ht="12.75" thickBot="1">
      <c r="A29" s="69"/>
      <c r="C29" s="8"/>
      <c r="D29" s="8"/>
      <c r="H29" s="73"/>
      <c r="I29" s="74"/>
      <c r="J29" s="74"/>
      <c r="K29" s="75"/>
      <c r="L29" s="76"/>
      <c r="M29" s="77"/>
      <c r="N29" s="315"/>
      <c r="O29" s="78"/>
      <c r="P29" s="76"/>
      <c r="Q29" s="77"/>
      <c r="R29" s="315"/>
      <c r="S29" s="78"/>
      <c r="T29" s="76"/>
      <c r="U29" s="233"/>
      <c r="V29" s="315"/>
      <c r="W29" s="234"/>
      <c r="X29" s="76"/>
      <c r="Y29" s="233"/>
      <c r="Z29" s="315"/>
      <c r="AA29" s="234"/>
      <c r="AB29" s="76"/>
      <c r="AC29" s="233"/>
      <c r="AD29" s="315"/>
      <c r="AE29" s="234"/>
    </row>
    <row r="30" spans="1:31" ht="12.75" thickTop="1">
      <c r="A30" s="79"/>
      <c r="B30" s="80" t="s">
        <v>190</v>
      </c>
      <c r="C30" s="80"/>
      <c r="D30" s="80"/>
      <c r="E30" s="80"/>
      <c r="F30" s="80"/>
      <c r="G30" s="81"/>
      <c r="H30" s="82">
        <f>H20+H27</f>
        <v>76524</v>
      </c>
      <c r="I30" s="82">
        <f>I20+I27</f>
        <v>337068</v>
      </c>
      <c r="J30" s="82">
        <f>J20+J27</f>
        <v>9459</v>
      </c>
      <c r="K30" s="82">
        <f>K20+K27</f>
        <v>423051</v>
      </c>
      <c r="L30" s="83" t="s">
        <v>10</v>
      </c>
      <c r="M30" s="84">
        <f>M28</f>
        <v>88</v>
      </c>
      <c r="N30" s="250">
        <f>O30/M30</f>
        <v>4807.397727272727</v>
      </c>
      <c r="O30" s="85">
        <f>O20+O27</f>
        <v>423051</v>
      </c>
      <c r="P30" s="83" t="s">
        <v>10</v>
      </c>
      <c r="Q30" s="84">
        <f>Q28</f>
        <v>88</v>
      </c>
      <c r="R30" s="250">
        <f>S30/Q30</f>
        <v>4807.397727272727</v>
      </c>
      <c r="S30" s="85">
        <f>S20+S27</f>
        <v>423051</v>
      </c>
      <c r="T30" s="83" t="s">
        <v>10</v>
      </c>
      <c r="U30" s="235">
        <f>U28</f>
        <v>88</v>
      </c>
      <c r="V30" s="250">
        <f>W30/U30</f>
        <v>8967.488636363636</v>
      </c>
      <c r="W30" s="236">
        <f>W20+W27</f>
        <v>789139</v>
      </c>
      <c r="X30" s="83" t="s">
        <v>10</v>
      </c>
      <c r="Y30" s="235">
        <f>Y28</f>
        <v>88</v>
      </c>
      <c r="Z30" s="250">
        <f>AA30/Y30</f>
        <v>8967.488636363636</v>
      </c>
      <c r="AA30" s="236">
        <f>AA20+AA27</f>
        <v>789139</v>
      </c>
      <c r="AB30" s="83" t="s">
        <v>10</v>
      </c>
      <c r="AC30" s="235">
        <f>AC28</f>
        <v>88</v>
      </c>
      <c r="AD30" s="250">
        <f>AE30/AC30</f>
        <v>8967.488636363636</v>
      </c>
      <c r="AE30" s="236">
        <f>AE20+AE27</f>
        <v>789139</v>
      </c>
    </row>
    <row r="31" spans="1:31" ht="12">
      <c r="A31" s="69"/>
      <c r="H31" s="18"/>
      <c r="I31" s="14"/>
      <c r="J31" s="14"/>
      <c r="K31" s="14"/>
      <c r="L31" s="23"/>
      <c r="M31" s="21"/>
      <c r="N31" s="314"/>
      <c r="O31" s="55"/>
      <c r="P31" s="23"/>
      <c r="Q31" s="21"/>
      <c r="R31" s="314"/>
      <c r="S31" s="55"/>
      <c r="T31" s="13"/>
      <c r="U31" s="67"/>
      <c r="V31" s="238"/>
      <c r="W31" s="230"/>
      <c r="X31" s="13"/>
      <c r="Y31" s="67"/>
      <c r="Z31" s="238"/>
      <c r="AA31" s="230"/>
      <c r="AB31" s="13"/>
      <c r="AC31" s="67"/>
      <c r="AD31" s="238"/>
      <c r="AE31" s="230"/>
    </row>
    <row r="32" spans="1:31" ht="12">
      <c r="A32" s="69">
        <v>2</v>
      </c>
      <c r="B32" s="8" t="s">
        <v>42</v>
      </c>
      <c r="C32" s="8"/>
      <c r="D32" s="8"/>
      <c r="E32" s="8"/>
      <c r="F32" s="8"/>
      <c r="H32" s="18"/>
      <c r="I32" s="14"/>
      <c r="J32" s="14"/>
      <c r="K32" s="14"/>
      <c r="L32" s="23"/>
      <c r="M32" s="21"/>
      <c r="N32" s="314"/>
      <c r="O32" s="58"/>
      <c r="P32" s="23"/>
      <c r="Q32" s="21"/>
      <c r="R32" s="314"/>
      <c r="S32" s="58"/>
      <c r="T32" s="13"/>
      <c r="U32" s="67"/>
      <c r="V32" s="238"/>
      <c r="W32" s="230"/>
      <c r="X32" s="13"/>
      <c r="Y32" s="67"/>
      <c r="Z32" s="238"/>
      <c r="AA32" s="230"/>
      <c r="AB32" s="13"/>
      <c r="AC32" s="67"/>
      <c r="AD32" s="238"/>
      <c r="AE32" s="230"/>
    </row>
    <row r="33" spans="1:31" ht="12">
      <c r="A33" s="69" t="s">
        <v>23</v>
      </c>
      <c r="B33" s="10" t="s">
        <v>108</v>
      </c>
      <c r="D33" s="8"/>
      <c r="E33" s="8"/>
      <c r="F33" s="8"/>
      <c r="H33" s="18"/>
      <c r="I33" s="14"/>
      <c r="J33" s="14"/>
      <c r="K33" s="14"/>
      <c r="L33" s="23"/>
      <c r="M33" s="70"/>
      <c r="N33" s="314"/>
      <c r="O33" s="55"/>
      <c r="P33" s="23"/>
      <c r="Q33" s="70"/>
      <c r="R33" s="314"/>
      <c r="S33" s="55"/>
      <c r="T33" s="13"/>
      <c r="U33" s="67"/>
      <c r="V33" s="238"/>
      <c r="W33" s="230"/>
      <c r="X33" s="13"/>
      <c r="Y33" s="67"/>
      <c r="Z33" s="238"/>
      <c r="AA33" s="230"/>
      <c r="AB33" s="13"/>
      <c r="AC33" s="67"/>
      <c r="AD33" s="238"/>
      <c r="AE33" s="230"/>
    </row>
    <row r="34" spans="1:31" ht="12">
      <c r="A34" s="69" t="s">
        <v>24</v>
      </c>
      <c r="C34" s="10" t="s">
        <v>11</v>
      </c>
      <c r="H34" s="18"/>
      <c r="I34" s="14"/>
      <c r="J34" s="14"/>
      <c r="K34" s="14"/>
      <c r="L34" s="23"/>
      <c r="M34" s="70"/>
      <c r="N34" s="314"/>
      <c r="O34" s="55"/>
      <c r="P34" s="23"/>
      <c r="Q34" s="70"/>
      <c r="R34" s="314"/>
      <c r="S34" s="55"/>
      <c r="T34" s="13"/>
      <c r="U34" s="67"/>
      <c r="V34" s="238"/>
      <c r="W34" s="230"/>
      <c r="X34" s="13"/>
      <c r="Y34" s="67"/>
      <c r="Z34" s="238"/>
      <c r="AA34" s="230"/>
      <c r="AB34" s="13"/>
      <c r="AC34" s="67"/>
      <c r="AD34" s="238"/>
      <c r="AE34" s="230"/>
    </row>
    <row r="35" spans="1:31" ht="12">
      <c r="A35" s="69" t="s">
        <v>25</v>
      </c>
      <c r="D35" s="10" t="s">
        <v>12</v>
      </c>
      <c r="H35" s="18"/>
      <c r="I35" s="14"/>
      <c r="J35" s="14"/>
      <c r="K35" s="14"/>
      <c r="L35" s="23"/>
      <c r="M35" s="70"/>
      <c r="N35" s="314"/>
      <c r="O35" s="55"/>
      <c r="P35" s="23"/>
      <c r="Q35" s="70"/>
      <c r="R35" s="314"/>
      <c r="S35" s="55"/>
      <c r="T35" s="13"/>
      <c r="U35" s="67"/>
      <c r="V35" s="238"/>
      <c r="W35" s="230"/>
      <c r="X35" s="13"/>
      <c r="Y35" s="67"/>
      <c r="Z35" s="238"/>
      <c r="AA35" s="230"/>
      <c r="AB35" s="13"/>
      <c r="AC35" s="67"/>
      <c r="AD35" s="238"/>
      <c r="AE35" s="230"/>
    </row>
    <row r="36" spans="1:31" ht="12">
      <c r="A36" s="69" t="s">
        <v>26</v>
      </c>
      <c r="D36" s="10" t="s">
        <v>13</v>
      </c>
      <c r="H36" s="18"/>
      <c r="I36" s="14"/>
      <c r="J36" s="14"/>
      <c r="K36" s="14"/>
      <c r="L36" s="23"/>
      <c r="M36" s="70"/>
      <c r="N36" s="314"/>
      <c r="O36" s="55"/>
      <c r="P36" s="23"/>
      <c r="Q36" s="70"/>
      <c r="R36" s="314"/>
      <c r="S36" s="55"/>
      <c r="T36" s="13"/>
      <c r="U36" s="67"/>
      <c r="V36" s="238"/>
      <c r="W36" s="230"/>
      <c r="X36" s="13"/>
      <c r="Y36" s="67"/>
      <c r="Z36" s="238"/>
      <c r="AA36" s="230"/>
      <c r="AB36" s="13"/>
      <c r="AC36" s="67"/>
      <c r="AD36" s="238"/>
      <c r="AE36" s="230"/>
    </row>
    <row r="37" spans="1:31" ht="12">
      <c r="A37" s="69"/>
      <c r="D37" s="10" t="s">
        <v>14</v>
      </c>
      <c r="H37" s="18"/>
      <c r="I37" s="14"/>
      <c r="J37" s="14"/>
      <c r="K37" s="14"/>
      <c r="L37" s="23"/>
      <c r="M37" s="70"/>
      <c r="N37" s="314"/>
      <c r="O37" s="55"/>
      <c r="P37" s="23"/>
      <c r="Q37" s="70"/>
      <c r="R37" s="314"/>
      <c r="S37" s="55"/>
      <c r="T37" s="13"/>
      <c r="U37" s="67"/>
      <c r="V37" s="238"/>
      <c r="W37" s="230"/>
      <c r="X37" s="13"/>
      <c r="Y37" s="67"/>
      <c r="Z37" s="238"/>
      <c r="AA37" s="230"/>
      <c r="AB37" s="13"/>
      <c r="AC37" s="67"/>
      <c r="AD37" s="238"/>
      <c r="AE37" s="230"/>
    </row>
    <row r="38" spans="1:31" ht="12">
      <c r="A38" s="69" t="s">
        <v>27</v>
      </c>
      <c r="D38" s="10" t="s">
        <v>15</v>
      </c>
      <c r="H38" s="18"/>
      <c r="I38" s="14"/>
      <c r="J38" s="14"/>
      <c r="K38" s="14"/>
      <c r="L38" s="23"/>
      <c r="M38" s="70"/>
      <c r="N38" s="314"/>
      <c r="O38" s="55"/>
      <c r="P38" s="23"/>
      <c r="Q38" s="70"/>
      <c r="R38" s="314"/>
      <c r="S38" s="55"/>
      <c r="T38" s="13"/>
      <c r="U38" s="67"/>
      <c r="V38" s="238"/>
      <c r="W38" s="230"/>
      <c r="X38" s="13"/>
      <c r="Y38" s="67"/>
      <c r="Z38" s="238"/>
      <c r="AA38" s="230"/>
      <c r="AB38" s="13"/>
      <c r="AC38" s="67"/>
      <c r="AD38" s="238"/>
      <c r="AE38" s="230"/>
    </row>
    <row r="39" spans="1:31" ht="12">
      <c r="A39" s="69"/>
      <c r="C39" s="10" t="s">
        <v>16</v>
      </c>
      <c r="H39" s="18"/>
      <c r="I39" s="14"/>
      <c r="J39" s="14"/>
      <c r="K39" s="14"/>
      <c r="L39" s="23"/>
      <c r="M39" s="70"/>
      <c r="N39" s="314"/>
      <c r="O39" s="55"/>
      <c r="P39" s="23"/>
      <c r="Q39" s="70"/>
      <c r="R39" s="314"/>
      <c r="S39" s="55"/>
      <c r="T39" s="13"/>
      <c r="U39" s="67"/>
      <c r="V39" s="238"/>
      <c r="W39" s="230"/>
      <c r="X39" s="13"/>
      <c r="Y39" s="67"/>
      <c r="Z39" s="238"/>
      <c r="AA39" s="230"/>
      <c r="AB39" s="13"/>
      <c r="AC39" s="67"/>
      <c r="AD39" s="238"/>
      <c r="AE39" s="230"/>
    </row>
    <row r="40" spans="1:31" ht="12">
      <c r="A40" s="69" t="s">
        <v>28</v>
      </c>
      <c r="D40" s="10" t="s">
        <v>12</v>
      </c>
      <c r="H40" s="18">
        <f>194664+40210+40210</f>
        <v>275084</v>
      </c>
      <c r="I40" s="14">
        <f>1148017+78068+60160</f>
        <v>1286245</v>
      </c>
      <c r="J40" s="14"/>
      <c r="K40" s="14">
        <f>H40+I40+J40</f>
        <v>1561329</v>
      </c>
      <c r="L40" s="23" t="s">
        <v>10</v>
      </c>
      <c r="M40" s="70">
        <f>995+87+84</f>
        <v>1166</v>
      </c>
      <c r="N40" s="314">
        <f>O40/M40</f>
        <v>1339.0471698113208</v>
      </c>
      <c r="O40" s="55">
        <f>K40</f>
        <v>1561329</v>
      </c>
      <c r="P40" s="23" t="s">
        <v>10</v>
      </c>
      <c r="Q40" s="70">
        <f>995+87+84</f>
        <v>1166</v>
      </c>
      <c r="R40" s="314">
        <f>S40/Q40</f>
        <v>1339.0471698113208</v>
      </c>
      <c r="S40" s="55">
        <f>O40</f>
        <v>1561329</v>
      </c>
      <c r="T40" s="13" t="s">
        <v>10</v>
      </c>
      <c r="U40" s="67">
        <v>1166</v>
      </c>
      <c r="V40" s="238">
        <f>R40*1.5</f>
        <v>2008.5707547169814</v>
      </c>
      <c r="W40" s="237">
        <f>U40*V40</f>
        <v>2341993.5000000005</v>
      </c>
      <c r="X40" s="13" t="s">
        <v>10</v>
      </c>
      <c r="Y40" s="67">
        <v>1166</v>
      </c>
      <c r="Z40" s="238">
        <f>R40*1.5</f>
        <v>2008.5707547169814</v>
      </c>
      <c r="AA40" s="237">
        <f>Y40*Z40</f>
        <v>2341993.5000000005</v>
      </c>
      <c r="AB40" s="13" t="s">
        <v>10</v>
      </c>
      <c r="AC40" s="67">
        <v>1166</v>
      </c>
      <c r="AD40" s="238">
        <f>R40*1.5</f>
        <v>2008.5707547169814</v>
      </c>
      <c r="AE40" s="237">
        <f>AC40*AD40</f>
        <v>2341993.5000000005</v>
      </c>
    </row>
    <row r="41" spans="1:31" ht="12">
      <c r="A41" s="69" t="s">
        <v>29</v>
      </c>
      <c r="D41" s="10" t="s">
        <v>13</v>
      </c>
      <c r="H41" s="18">
        <f>4057</f>
        <v>4057</v>
      </c>
      <c r="I41" s="14">
        <f>25013</f>
        <v>25013</v>
      </c>
      <c r="J41" s="14"/>
      <c r="K41" s="14">
        <f>H41+I41+J41</f>
        <v>29070</v>
      </c>
      <c r="L41" s="23" t="s">
        <v>10</v>
      </c>
      <c r="M41" s="70">
        <f>995+87+84</f>
        <v>1166</v>
      </c>
      <c r="N41" s="314">
        <f>O41/M41</f>
        <v>24.93138936535163</v>
      </c>
      <c r="O41" s="55">
        <f>K41</f>
        <v>29070</v>
      </c>
      <c r="P41" s="23" t="s">
        <v>10</v>
      </c>
      <c r="Q41" s="70">
        <f>995+87+84</f>
        <v>1166</v>
      </c>
      <c r="R41" s="314">
        <f>S41/Q41</f>
        <v>24.93138936535163</v>
      </c>
      <c r="S41" s="55">
        <f>O41</f>
        <v>29070</v>
      </c>
      <c r="T41" s="13" t="s">
        <v>10</v>
      </c>
      <c r="U41" s="67">
        <v>1166</v>
      </c>
      <c r="V41" s="238">
        <f>R41*1.5</f>
        <v>37.397084048027445</v>
      </c>
      <c r="W41" s="237">
        <f>U41*V41</f>
        <v>43605</v>
      </c>
      <c r="X41" s="13" t="s">
        <v>10</v>
      </c>
      <c r="Y41" s="67">
        <v>1166</v>
      </c>
      <c r="Z41" s="238">
        <f>R41*1.5</f>
        <v>37.397084048027445</v>
      </c>
      <c r="AA41" s="237">
        <f>Y41*Z41</f>
        <v>43605</v>
      </c>
      <c r="AB41" s="13" t="s">
        <v>10</v>
      </c>
      <c r="AC41" s="67">
        <v>1166</v>
      </c>
      <c r="AD41" s="238">
        <f>R41*1.5</f>
        <v>37.397084048027445</v>
      </c>
      <c r="AE41" s="237">
        <f>AC41*AD41</f>
        <v>43605</v>
      </c>
    </row>
    <row r="42" spans="1:31" ht="12">
      <c r="A42" s="69" t="s">
        <v>30</v>
      </c>
      <c r="D42" s="10" t="s">
        <v>14</v>
      </c>
      <c r="H42" s="18">
        <f>20366</f>
        <v>20366</v>
      </c>
      <c r="I42" s="14">
        <f>125559</f>
        <v>125559</v>
      </c>
      <c r="J42" s="14"/>
      <c r="K42" s="14">
        <f>H42+I42+J42</f>
        <v>145925</v>
      </c>
      <c r="L42" s="23" t="s">
        <v>10</v>
      </c>
      <c r="M42" s="70">
        <f>995+87+84</f>
        <v>1166</v>
      </c>
      <c r="N42" s="314">
        <f>O42/M42</f>
        <v>125.1500857632933</v>
      </c>
      <c r="O42" s="55">
        <f>K42</f>
        <v>145925</v>
      </c>
      <c r="P42" s="23" t="s">
        <v>10</v>
      </c>
      <c r="Q42" s="70">
        <f>995+87+84</f>
        <v>1166</v>
      </c>
      <c r="R42" s="314">
        <f>S42/Q42</f>
        <v>125.1500857632933</v>
      </c>
      <c r="S42" s="55">
        <f>O42</f>
        <v>145925</v>
      </c>
      <c r="T42" s="13" t="s">
        <v>10</v>
      </c>
      <c r="U42" s="67">
        <v>1166</v>
      </c>
      <c r="V42" s="238">
        <f>R42*1.5</f>
        <v>187.72512864493996</v>
      </c>
      <c r="W42" s="237">
        <f>U42*V42</f>
        <v>218887.5</v>
      </c>
      <c r="X42" s="13" t="s">
        <v>10</v>
      </c>
      <c r="Y42" s="67">
        <v>1166</v>
      </c>
      <c r="Z42" s="238">
        <f>R42*1.5</f>
        <v>187.72512864493996</v>
      </c>
      <c r="AA42" s="237">
        <f>Y42*Z42</f>
        <v>218887.5</v>
      </c>
      <c r="AB42" s="13" t="s">
        <v>10</v>
      </c>
      <c r="AC42" s="67">
        <v>1166</v>
      </c>
      <c r="AD42" s="238">
        <f>R42*1.5</f>
        <v>187.72512864493996</v>
      </c>
      <c r="AE42" s="237">
        <f>AC42*AD42</f>
        <v>218887.5</v>
      </c>
    </row>
    <row r="43" spans="1:31" ht="12">
      <c r="A43" s="69" t="s">
        <v>31</v>
      </c>
      <c r="D43" s="10" t="s">
        <v>15</v>
      </c>
      <c r="H43" s="18"/>
      <c r="I43" s="14"/>
      <c r="J43" s="14"/>
      <c r="K43" s="14"/>
      <c r="L43" s="23"/>
      <c r="M43" s="70"/>
      <c r="N43" s="314"/>
      <c r="O43" s="55"/>
      <c r="P43" s="23"/>
      <c r="Q43" s="70"/>
      <c r="R43" s="314"/>
      <c r="S43" s="55"/>
      <c r="T43" s="13"/>
      <c r="U43" s="67"/>
      <c r="V43" s="238"/>
      <c r="W43" s="230"/>
      <c r="X43" s="13"/>
      <c r="Y43" s="67"/>
      <c r="Z43" s="238"/>
      <c r="AA43" s="230"/>
      <c r="AB43" s="13"/>
      <c r="AC43" s="67"/>
      <c r="AD43" s="238"/>
      <c r="AE43" s="230"/>
    </row>
    <row r="44" spans="1:31" ht="12">
      <c r="A44" s="69"/>
      <c r="C44" s="10" t="s">
        <v>17</v>
      </c>
      <c r="H44" s="18">
        <f>SUM(H33:H43)</f>
        <v>299507</v>
      </c>
      <c r="I44" s="37">
        <f>SUM(I33:I43)</f>
        <v>1436817</v>
      </c>
      <c r="J44" s="37">
        <f>SUM(J33:J43)</f>
        <v>0</v>
      </c>
      <c r="K44" s="37">
        <f>SUM(K33:K43)</f>
        <v>1736324</v>
      </c>
      <c r="L44" s="23" t="s">
        <v>10</v>
      </c>
      <c r="M44" s="70">
        <v>1166</v>
      </c>
      <c r="N44" s="314">
        <f>O44/M44</f>
        <v>1489.1286449399656</v>
      </c>
      <c r="O44" s="55">
        <f>K44</f>
        <v>1736324</v>
      </c>
      <c r="P44" s="23" t="s">
        <v>10</v>
      </c>
      <c r="Q44" s="70">
        <v>1166</v>
      </c>
      <c r="R44" s="314">
        <f>S44/Q44</f>
        <v>1489.1286449399656</v>
      </c>
      <c r="S44" s="55">
        <f>O44</f>
        <v>1736324</v>
      </c>
      <c r="T44" s="13" t="s">
        <v>10</v>
      </c>
      <c r="U44" s="67">
        <v>1166</v>
      </c>
      <c r="V44" s="314">
        <f>W44/U44</f>
        <v>2233.692967409949</v>
      </c>
      <c r="W44" s="237">
        <f>SUM(W40:W43)</f>
        <v>2604486.0000000005</v>
      </c>
      <c r="X44" s="13" t="s">
        <v>10</v>
      </c>
      <c r="Y44" s="67">
        <v>1166</v>
      </c>
      <c r="Z44" s="314">
        <f>AA44/Y44</f>
        <v>2233.692967409949</v>
      </c>
      <c r="AA44" s="237">
        <f>SUM(AA40:AA43)</f>
        <v>2604486.0000000005</v>
      </c>
      <c r="AB44" s="13" t="s">
        <v>10</v>
      </c>
      <c r="AC44" s="67">
        <v>1166</v>
      </c>
      <c r="AD44" s="314">
        <f>AE44/AC44</f>
        <v>2233.692967409949</v>
      </c>
      <c r="AE44" s="237">
        <f>SUM(AE40:AE43)</f>
        <v>2604486.0000000005</v>
      </c>
    </row>
    <row r="45" spans="1:31" ht="12">
      <c r="A45" s="69"/>
      <c r="C45" s="10" t="s">
        <v>11</v>
      </c>
      <c r="H45" s="18"/>
      <c r="I45" s="14"/>
      <c r="J45" s="14"/>
      <c r="K45" s="14"/>
      <c r="L45" s="23"/>
      <c r="M45" s="70"/>
      <c r="N45" s="314"/>
      <c r="O45" s="55"/>
      <c r="P45" s="23"/>
      <c r="Q45" s="70"/>
      <c r="R45" s="314"/>
      <c r="S45" s="55"/>
      <c r="T45" s="13"/>
      <c r="U45" s="67"/>
      <c r="V45" s="238"/>
      <c r="W45" s="230"/>
      <c r="X45" s="13"/>
      <c r="Y45" s="67"/>
      <c r="Z45" s="238"/>
      <c r="AA45" s="230"/>
      <c r="AB45" s="13"/>
      <c r="AC45" s="67"/>
      <c r="AD45" s="238"/>
      <c r="AE45" s="230"/>
    </row>
    <row r="46" spans="1:31" ht="12">
      <c r="A46" s="69" t="s">
        <v>32</v>
      </c>
      <c r="D46" s="10" t="s">
        <v>18</v>
      </c>
      <c r="H46" s="18"/>
      <c r="I46" s="14"/>
      <c r="J46" s="14"/>
      <c r="K46" s="14"/>
      <c r="L46" s="23"/>
      <c r="M46" s="70"/>
      <c r="N46" s="314"/>
      <c r="O46" s="55"/>
      <c r="P46" s="23"/>
      <c r="Q46" s="70"/>
      <c r="R46" s="314"/>
      <c r="S46" s="55"/>
      <c r="T46" s="13"/>
      <c r="U46" s="67"/>
      <c r="V46" s="238"/>
      <c r="W46" s="230"/>
      <c r="X46" s="13"/>
      <c r="Y46" s="67"/>
      <c r="Z46" s="238"/>
      <c r="AA46" s="230"/>
      <c r="AB46" s="13"/>
      <c r="AC46" s="67"/>
      <c r="AD46" s="238"/>
      <c r="AE46" s="230"/>
    </row>
    <row r="47" spans="1:31" ht="12">
      <c r="A47" s="69" t="s">
        <v>33</v>
      </c>
      <c r="D47" s="10" t="s">
        <v>19</v>
      </c>
      <c r="H47" s="18"/>
      <c r="I47" s="14"/>
      <c r="J47" s="14"/>
      <c r="K47" s="14"/>
      <c r="L47" s="23"/>
      <c r="M47" s="70"/>
      <c r="N47" s="314"/>
      <c r="O47" s="55"/>
      <c r="P47" s="23"/>
      <c r="Q47" s="70"/>
      <c r="R47" s="314"/>
      <c r="S47" s="55"/>
      <c r="T47" s="13"/>
      <c r="U47" s="67"/>
      <c r="V47" s="238"/>
      <c r="W47" s="230"/>
      <c r="X47" s="13"/>
      <c r="Y47" s="67"/>
      <c r="Z47" s="238"/>
      <c r="AA47" s="230"/>
      <c r="AB47" s="13"/>
      <c r="AC47" s="67"/>
      <c r="AD47" s="238"/>
      <c r="AE47" s="230"/>
    </row>
    <row r="48" spans="1:31" ht="12">
      <c r="A48" s="69"/>
      <c r="C48" s="10" t="s">
        <v>16</v>
      </c>
      <c r="H48" s="18"/>
      <c r="I48" s="14"/>
      <c r="J48" s="14"/>
      <c r="K48" s="14"/>
      <c r="L48" s="23"/>
      <c r="M48" s="70"/>
      <c r="N48" s="314"/>
      <c r="O48" s="55"/>
      <c r="P48" s="23"/>
      <c r="Q48" s="70"/>
      <c r="R48" s="314"/>
      <c r="S48" s="55"/>
      <c r="T48" s="13"/>
      <c r="U48" s="67"/>
      <c r="V48" s="238"/>
      <c r="W48" s="230"/>
      <c r="X48" s="13"/>
      <c r="Y48" s="67"/>
      <c r="Z48" s="238"/>
      <c r="AA48" s="230"/>
      <c r="AB48" s="13"/>
      <c r="AC48" s="67"/>
      <c r="AD48" s="238"/>
      <c r="AE48" s="230"/>
    </row>
    <row r="49" spans="1:31" ht="12">
      <c r="A49" s="69" t="s">
        <v>34</v>
      </c>
      <c r="D49" s="10" t="s">
        <v>18</v>
      </c>
      <c r="H49" s="18">
        <f>10002</f>
        <v>10002</v>
      </c>
      <c r="I49" s="14">
        <f>61665</f>
        <v>61665</v>
      </c>
      <c r="J49" s="14"/>
      <c r="K49" s="14">
        <f>H49+I49+J49</f>
        <v>71667</v>
      </c>
      <c r="L49" s="23" t="s">
        <v>10</v>
      </c>
      <c r="M49" s="70">
        <v>995</v>
      </c>
      <c r="N49" s="314">
        <f>O49/M49</f>
        <v>72.02713567839196</v>
      </c>
      <c r="O49" s="55">
        <f>K49</f>
        <v>71667</v>
      </c>
      <c r="P49" s="23" t="s">
        <v>10</v>
      </c>
      <c r="Q49" s="70">
        <v>995</v>
      </c>
      <c r="R49" s="314">
        <f>S49/Q49</f>
        <v>72.02713567839196</v>
      </c>
      <c r="S49" s="55">
        <f>O49</f>
        <v>71667</v>
      </c>
      <c r="T49" s="13"/>
      <c r="U49" s="67"/>
      <c r="V49" s="238"/>
      <c r="W49" s="230"/>
      <c r="X49" s="13"/>
      <c r="Y49" s="67"/>
      <c r="Z49" s="238"/>
      <c r="AA49" s="230"/>
      <c r="AB49" s="13"/>
      <c r="AC49" s="67"/>
      <c r="AD49" s="238"/>
      <c r="AE49" s="230"/>
    </row>
    <row r="50" spans="1:31" ht="12">
      <c r="A50" s="69" t="s">
        <v>35</v>
      </c>
      <c r="D50" s="10" t="s">
        <v>20</v>
      </c>
      <c r="H50" s="18">
        <f>39969</f>
        <v>39969</v>
      </c>
      <c r="I50" s="14">
        <f>53352</f>
        <v>53352</v>
      </c>
      <c r="J50" s="14">
        <f>107311</f>
        <v>107311</v>
      </c>
      <c r="K50" s="14">
        <f>H50+I50+J50</f>
        <v>200632</v>
      </c>
      <c r="L50" s="23" t="s">
        <v>10</v>
      </c>
      <c r="M50" s="70">
        <v>995</v>
      </c>
      <c r="N50" s="314">
        <f>O50/M50</f>
        <v>201.64020100502512</v>
      </c>
      <c r="O50" s="55">
        <f>K50</f>
        <v>200632</v>
      </c>
      <c r="P50" s="23" t="s">
        <v>10</v>
      </c>
      <c r="Q50" s="70">
        <v>995</v>
      </c>
      <c r="R50" s="314">
        <f>S50/Q50</f>
        <v>201.64020100502512</v>
      </c>
      <c r="S50" s="55">
        <f>O50</f>
        <v>200632</v>
      </c>
      <c r="T50" s="13" t="s">
        <v>10</v>
      </c>
      <c r="U50" s="67">
        <v>995</v>
      </c>
      <c r="V50" s="238">
        <v>1500</v>
      </c>
      <c r="W50" s="237">
        <f>U50*V50</f>
        <v>1492500</v>
      </c>
      <c r="X50" s="13" t="s">
        <v>10</v>
      </c>
      <c r="Y50" s="67">
        <v>995</v>
      </c>
      <c r="Z50" s="238">
        <v>1500</v>
      </c>
      <c r="AA50" s="237">
        <f>Y50*Z50</f>
        <v>1492500</v>
      </c>
      <c r="AB50" s="13" t="s">
        <v>10</v>
      </c>
      <c r="AC50" s="67">
        <v>995</v>
      </c>
      <c r="AD50" s="238">
        <v>1500</v>
      </c>
      <c r="AE50" s="237">
        <f>AC50*AD50</f>
        <v>1492500</v>
      </c>
    </row>
    <row r="51" spans="1:31" ht="12">
      <c r="A51" s="69"/>
      <c r="C51" s="10" t="s">
        <v>21</v>
      </c>
      <c r="H51" s="18">
        <f>SUM(H45:H50)</f>
        <v>49971</v>
      </c>
      <c r="I51" s="37">
        <f>SUM(I45:I50)</f>
        <v>115017</v>
      </c>
      <c r="J51" s="37">
        <f>SUM(J45:J50)</f>
        <v>107311</v>
      </c>
      <c r="K51" s="37">
        <f>SUM(K45:K50)</f>
        <v>272299</v>
      </c>
      <c r="L51" s="23" t="s">
        <v>10</v>
      </c>
      <c r="M51" s="70">
        <v>995</v>
      </c>
      <c r="N51" s="314">
        <f>O51/M51</f>
        <v>273.6673366834171</v>
      </c>
      <c r="O51" s="55">
        <f>K51</f>
        <v>272299</v>
      </c>
      <c r="P51" s="23" t="s">
        <v>10</v>
      </c>
      <c r="Q51" s="70">
        <v>995</v>
      </c>
      <c r="R51" s="314">
        <f>S51/Q51</f>
        <v>273.6673366834171</v>
      </c>
      <c r="S51" s="55">
        <f>O51</f>
        <v>272299</v>
      </c>
      <c r="T51" s="13" t="s">
        <v>10</v>
      </c>
      <c r="U51" s="67">
        <v>995</v>
      </c>
      <c r="V51" s="238">
        <v>1500</v>
      </c>
      <c r="W51" s="237">
        <f>W50</f>
        <v>1492500</v>
      </c>
      <c r="X51" s="13" t="s">
        <v>10</v>
      </c>
      <c r="Y51" s="67">
        <v>995</v>
      </c>
      <c r="Z51" s="238">
        <f>R51*1.5</f>
        <v>410.50100502512566</v>
      </c>
      <c r="AA51" s="237">
        <f>AA50</f>
        <v>1492500</v>
      </c>
      <c r="AB51" s="13" t="s">
        <v>10</v>
      </c>
      <c r="AC51" s="67">
        <v>995</v>
      </c>
      <c r="AD51" s="238">
        <f>R51*1.5</f>
        <v>410.50100502512566</v>
      </c>
      <c r="AE51" s="237">
        <f>AE50</f>
        <v>1492500</v>
      </c>
    </row>
    <row r="52" spans="1:31" ht="12">
      <c r="A52" s="69"/>
      <c r="B52" s="10" t="s">
        <v>109</v>
      </c>
      <c r="H52" s="18">
        <f>H44+H51</f>
        <v>349478</v>
      </c>
      <c r="I52" s="37">
        <f>I44+I51</f>
        <v>1551834</v>
      </c>
      <c r="J52" s="37">
        <f>J44+J51</f>
        <v>107311</v>
      </c>
      <c r="K52" s="26">
        <f>K44+K51</f>
        <v>2008623</v>
      </c>
      <c r="L52" s="23" t="s">
        <v>10</v>
      </c>
      <c r="M52" s="70">
        <v>1215</v>
      </c>
      <c r="N52" s="314">
        <f>O52/M52</f>
        <v>1653.1876543209876</v>
      </c>
      <c r="O52" s="55">
        <f>K52</f>
        <v>2008623</v>
      </c>
      <c r="P52" s="23" t="s">
        <v>10</v>
      </c>
      <c r="Q52" s="70">
        <v>1215</v>
      </c>
      <c r="R52" s="314">
        <f>S52/Q52</f>
        <v>1653.1876543209876</v>
      </c>
      <c r="S52" s="55">
        <f>O52</f>
        <v>2008623</v>
      </c>
      <c r="T52" s="13" t="s">
        <v>10</v>
      </c>
      <c r="U52" s="239">
        <v>1215</v>
      </c>
      <c r="V52" s="238">
        <f>W52/U52</f>
        <v>3372.004938271605</v>
      </c>
      <c r="W52" s="237">
        <f>W44+W51</f>
        <v>4096986.0000000005</v>
      </c>
      <c r="X52" s="13" t="s">
        <v>10</v>
      </c>
      <c r="Y52" s="239">
        <v>1215</v>
      </c>
      <c r="Z52" s="238">
        <f>AA52/Y52</f>
        <v>3372.004938271605</v>
      </c>
      <c r="AA52" s="237">
        <f>AA44+AA51</f>
        <v>4096986.0000000005</v>
      </c>
      <c r="AB52" s="13" t="s">
        <v>10</v>
      </c>
      <c r="AC52" s="239">
        <v>1215</v>
      </c>
      <c r="AD52" s="238">
        <f>AE52/AC52</f>
        <v>3372.004938271605</v>
      </c>
      <c r="AE52" s="237">
        <f>AE44+AE51</f>
        <v>4096986.0000000005</v>
      </c>
    </row>
    <row r="53" spans="1:31" ht="12">
      <c r="A53" s="69"/>
      <c r="C53" s="8"/>
      <c r="D53" s="8"/>
      <c r="E53" s="8"/>
      <c r="F53" s="8"/>
      <c r="H53" s="18"/>
      <c r="I53" s="14"/>
      <c r="J53" s="14"/>
      <c r="K53" s="14"/>
      <c r="L53" s="23"/>
      <c r="M53" s="21"/>
      <c r="N53" s="314"/>
      <c r="O53" s="58"/>
      <c r="P53" s="23"/>
      <c r="Q53" s="21"/>
      <c r="R53" s="314"/>
      <c r="S53" s="58"/>
      <c r="T53" s="13"/>
      <c r="U53" s="67"/>
      <c r="V53" s="238"/>
      <c r="W53" s="230"/>
      <c r="X53" s="13"/>
      <c r="Y53" s="67"/>
      <c r="Z53" s="238"/>
      <c r="AA53" s="230"/>
      <c r="AB53" s="13"/>
      <c r="AC53" s="67"/>
      <c r="AD53" s="238"/>
      <c r="AE53" s="230"/>
    </row>
    <row r="54" spans="1:31" ht="12">
      <c r="A54" s="69" t="s">
        <v>36</v>
      </c>
      <c r="B54" s="10" t="s">
        <v>110</v>
      </c>
      <c r="D54" s="8"/>
      <c r="E54" s="8"/>
      <c r="F54" s="8"/>
      <c r="H54" s="18"/>
      <c r="I54" s="14"/>
      <c r="J54" s="14"/>
      <c r="K54" s="14"/>
      <c r="L54" s="23"/>
      <c r="M54" s="21"/>
      <c r="N54" s="314"/>
      <c r="O54" s="58"/>
      <c r="P54" s="23"/>
      <c r="Q54" s="21"/>
      <c r="R54" s="314"/>
      <c r="S54" s="58"/>
      <c r="T54" s="13"/>
      <c r="U54" s="67"/>
      <c r="V54" s="238"/>
      <c r="W54" s="230"/>
      <c r="X54" s="13"/>
      <c r="Y54" s="67"/>
      <c r="Z54" s="238"/>
      <c r="AA54" s="230"/>
      <c r="AB54" s="13"/>
      <c r="AC54" s="67"/>
      <c r="AD54" s="238"/>
      <c r="AE54" s="230"/>
    </row>
    <row r="55" spans="1:31" ht="12">
      <c r="A55" s="69"/>
      <c r="C55" s="10" t="s">
        <v>11</v>
      </c>
      <c r="H55" s="18"/>
      <c r="I55" s="14"/>
      <c r="J55" s="14"/>
      <c r="K55" s="14"/>
      <c r="L55" s="23"/>
      <c r="M55" s="70"/>
      <c r="N55" s="314"/>
      <c r="O55" s="55"/>
      <c r="P55" s="23"/>
      <c r="Q55" s="70"/>
      <c r="R55" s="314"/>
      <c r="S55" s="55"/>
      <c r="T55" s="13"/>
      <c r="U55" s="67"/>
      <c r="V55" s="238"/>
      <c r="W55" s="230"/>
      <c r="X55" s="13"/>
      <c r="Y55" s="67"/>
      <c r="Z55" s="238"/>
      <c r="AA55" s="230"/>
      <c r="AB55" s="13"/>
      <c r="AC55" s="67"/>
      <c r="AD55" s="238"/>
      <c r="AE55" s="230"/>
    </row>
    <row r="56" spans="1:31" ht="12">
      <c r="A56" s="69" t="s">
        <v>160</v>
      </c>
      <c r="D56" s="10" t="s">
        <v>12</v>
      </c>
      <c r="H56" s="18"/>
      <c r="I56" s="14"/>
      <c r="J56" s="14"/>
      <c r="K56" s="14"/>
      <c r="L56" s="23"/>
      <c r="M56" s="70"/>
      <c r="N56" s="314"/>
      <c r="O56" s="55"/>
      <c r="P56" s="23"/>
      <c r="Q56" s="70"/>
      <c r="R56" s="314"/>
      <c r="S56" s="55"/>
      <c r="T56" s="13"/>
      <c r="U56" s="67"/>
      <c r="V56" s="238"/>
      <c r="W56" s="230"/>
      <c r="X56" s="13"/>
      <c r="Y56" s="67"/>
      <c r="Z56" s="238"/>
      <c r="AA56" s="230"/>
      <c r="AB56" s="13"/>
      <c r="AC56" s="67"/>
      <c r="AD56" s="238"/>
      <c r="AE56" s="230"/>
    </row>
    <row r="57" spans="1:31" ht="12">
      <c r="A57" s="69" t="s">
        <v>161</v>
      </c>
      <c r="D57" s="10" t="s">
        <v>13</v>
      </c>
      <c r="H57" s="18"/>
      <c r="I57" s="14"/>
      <c r="J57" s="14"/>
      <c r="K57" s="14"/>
      <c r="L57" s="23"/>
      <c r="M57" s="70"/>
      <c r="N57" s="314"/>
      <c r="O57" s="55"/>
      <c r="P57" s="23"/>
      <c r="Q57" s="70"/>
      <c r="R57" s="314"/>
      <c r="S57" s="55"/>
      <c r="T57" s="13"/>
      <c r="U57" s="67"/>
      <c r="V57" s="238"/>
      <c r="W57" s="230"/>
      <c r="X57" s="13"/>
      <c r="Y57" s="67"/>
      <c r="Z57" s="238"/>
      <c r="AA57" s="230"/>
      <c r="AB57" s="13"/>
      <c r="AC57" s="67"/>
      <c r="AD57" s="238"/>
      <c r="AE57" s="230"/>
    </row>
    <row r="58" spans="1:31" ht="12">
      <c r="A58" s="69" t="s">
        <v>162</v>
      </c>
      <c r="D58" s="10" t="s">
        <v>14</v>
      </c>
      <c r="H58" s="18"/>
      <c r="I58" s="14"/>
      <c r="J58" s="14"/>
      <c r="K58" s="14"/>
      <c r="L58" s="23"/>
      <c r="M58" s="70"/>
      <c r="N58" s="314"/>
      <c r="O58" s="55"/>
      <c r="P58" s="23"/>
      <c r="Q58" s="70"/>
      <c r="R58" s="314"/>
      <c r="S58" s="55"/>
      <c r="T58" s="13"/>
      <c r="U58" s="67"/>
      <c r="V58" s="238"/>
      <c r="W58" s="230"/>
      <c r="X58" s="13"/>
      <c r="Y58" s="67"/>
      <c r="Z58" s="238"/>
      <c r="AA58" s="230"/>
      <c r="AB58" s="13"/>
      <c r="AC58" s="67"/>
      <c r="AD58" s="238"/>
      <c r="AE58" s="230"/>
    </row>
    <row r="59" spans="1:31" ht="12">
      <c r="A59" s="69" t="s">
        <v>163</v>
      </c>
      <c r="D59" s="10" t="s">
        <v>15</v>
      </c>
      <c r="H59" s="18"/>
      <c r="I59" s="14"/>
      <c r="J59" s="14"/>
      <c r="K59" s="14"/>
      <c r="L59" s="23"/>
      <c r="M59" s="70"/>
      <c r="N59" s="314"/>
      <c r="O59" s="55"/>
      <c r="P59" s="23"/>
      <c r="Q59" s="70"/>
      <c r="R59" s="314"/>
      <c r="S59" s="55"/>
      <c r="T59" s="13"/>
      <c r="U59" s="67"/>
      <c r="V59" s="238"/>
      <c r="W59" s="230"/>
      <c r="X59" s="13"/>
      <c r="Y59" s="67"/>
      <c r="Z59" s="238"/>
      <c r="AA59" s="230"/>
      <c r="AB59" s="13"/>
      <c r="AC59" s="67"/>
      <c r="AD59" s="238"/>
      <c r="AE59" s="230"/>
    </row>
    <row r="60" spans="1:31" ht="12">
      <c r="A60" s="69"/>
      <c r="C60" s="10" t="s">
        <v>16</v>
      </c>
      <c r="H60" s="18"/>
      <c r="I60" s="14"/>
      <c r="J60" s="14"/>
      <c r="K60" s="14"/>
      <c r="L60" s="23"/>
      <c r="M60" s="70"/>
      <c r="N60" s="314"/>
      <c r="O60" s="55"/>
      <c r="P60" s="23"/>
      <c r="Q60" s="70"/>
      <c r="R60" s="314"/>
      <c r="S60" s="55"/>
      <c r="T60" s="13"/>
      <c r="U60" s="67"/>
      <c r="V60" s="238"/>
      <c r="W60" s="230"/>
      <c r="X60" s="13"/>
      <c r="Y60" s="67"/>
      <c r="Z60" s="238"/>
      <c r="AA60" s="230"/>
      <c r="AB60" s="13"/>
      <c r="AC60" s="67"/>
      <c r="AD60" s="238"/>
      <c r="AE60" s="230"/>
    </row>
    <row r="61" spans="1:31" ht="12">
      <c r="A61" s="69" t="s">
        <v>164</v>
      </c>
      <c r="D61" s="10" t="s">
        <v>12</v>
      </c>
      <c r="H61" s="18">
        <f>47762+1004+38563</f>
        <v>87329</v>
      </c>
      <c r="I61" s="14">
        <f>201738+6191+227424</f>
        <v>435353</v>
      </c>
      <c r="J61" s="14"/>
      <c r="K61" s="14">
        <f>H61+I61+J61</f>
        <v>522682</v>
      </c>
      <c r="L61" s="23" t="s">
        <v>10</v>
      </c>
      <c r="M61" s="70">
        <v>49</v>
      </c>
      <c r="N61" s="314">
        <f>O61/M61</f>
        <v>10666.979591836734</v>
      </c>
      <c r="O61" s="55">
        <f>K61</f>
        <v>522682</v>
      </c>
      <c r="P61" s="23" t="s">
        <v>10</v>
      </c>
      <c r="Q61" s="70">
        <v>49</v>
      </c>
      <c r="R61" s="314">
        <f>S61/Q61</f>
        <v>10666.979591836734</v>
      </c>
      <c r="S61" s="55">
        <f>O61</f>
        <v>522682</v>
      </c>
      <c r="T61" s="23" t="s">
        <v>10</v>
      </c>
      <c r="U61" s="198">
        <v>49</v>
      </c>
      <c r="V61" s="314">
        <f>W61/U61</f>
        <v>10666.979591836734</v>
      </c>
      <c r="W61" s="231">
        <f>S61</f>
        <v>522682</v>
      </c>
      <c r="X61" s="23" t="s">
        <v>10</v>
      </c>
      <c r="Y61" s="198">
        <v>49</v>
      </c>
      <c r="Z61" s="314">
        <f>AA61/Y61</f>
        <v>10666.979591836734</v>
      </c>
      <c r="AA61" s="231">
        <f>W61</f>
        <v>522682</v>
      </c>
      <c r="AB61" s="23" t="s">
        <v>10</v>
      </c>
      <c r="AC61" s="198">
        <v>49</v>
      </c>
      <c r="AD61" s="314">
        <f>AE61/AC61</f>
        <v>10666.979591836734</v>
      </c>
      <c r="AE61" s="231">
        <f>AA61</f>
        <v>522682</v>
      </c>
    </row>
    <row r="62" spans="1:31" ht="12">
      <c r="A62" s="69" t="s">
        <v>165</v>
      </c>
      <c r="D62" s="10" t="s">
        <v>13</v>
      </c>
      <c r="H62" s="18">
        <f>5624</f>
        <v>5624</v>
      </c>
      <c r="I62" s="14">
        <f>4480</f>
        <v>4480</v>
      </c>
      <c r="J62" s="14"/>
      <c r="K62" s="14">
        <f>H62+I62+J62</f>
        <v>10104</v>
      </c>
      <c r="L62" s="23" t="s">
        <v>10</v>
      </c>
      <c r="M62" s="70">
        <v>49</v>
      </c>
      <c r="N62" s="314">
        <f>O62/M62</f>
        <v>206.20408163265307</v>
      </c>
      <c r="O62" s="55">
        <f>K62</f>
        <v>10104</v>
      </c>
      <c r="P62" s="23" t="s">
        <v>10</v>
      </c>
      <c r="Q62" s="70">
        <v>49</v>
      </c>
      <c r="R62" s="314">
        <f>S62/Q62</f>
        <v>206.20408163265307</v>
      </c>
      <c r="S62" s="55">
        <f>O62</f>
        <v>10104</v>
      </c>
      <c r="T62" s="23" t="s">
        <v>10</v>
      </c>
      <c r="U62" s="198">
        <v>49</v>
      </c>
      <c r="V62" s="314">
        <f>W62/U62</f>
        <v>206.20408163265307</v>
      </c>
      <c r="W62" s="231">
        <f>S62</f>
        <v>10104</v>
      </c>
      <c r="X62" s="23" t="s">
        <v>10</v>
      </c>
      <c r="Y62" s="198">
        <v>49</v>
      </c>
      <c r="Z62" s="314">
        <f>AA62/Y62</f>
        <v>206.20408163265307</v>
      </c>
      <c r="AA62" s="231">
        <f>W62</f>
        <v>10104</v>
      </c>
      <c r="AB62" s="23" t="s">
        <v>10</v>
      </c>
      <c r="AC62" s="198">
        <v>49</v>
      </c>
      <c r="AD62" s="314">
        <f>AE62/AC62</f>
        <v>206.20408163265307</v>
      </c>
      <c r="AE62" s="231">
        <f>AA62</f>
        <v>10104</v>
      </c>
    </row>
    <row r="63" spans="1:31" ht="12">
      <c r="A63" s="69" t="s">
        <v>166</v>
      </c>
      <c r="D63" s="10" t="s">
        <v>14</v>
      </c>
      <c r="H63" s="18"/>
      <c r="I63" s="14"/>
      <c r="J63" s="14"/>
      <c r="K63" s="14"/>
      <c r="L63" s="23"/>
      <c r="M63" s="70"/>
      <c r="N63" s="314"/>
      <c r="O63" s="55"/>
      <c r="P63" s="23"/>
      <c r="Q63" s="70"/>
      <c r="R63" s="314"/>
      <c r="S63" s="55"/>
      <c r="T63" s="23"/>
      <c r="U63" s="198"/>
      <c r="V63" s="314"/>
      <c r="W63" s="231"/>
      <c r="X63" s="23"/>
      <c r="Y63" s="198"/>
      <c r="Z63" s="314"/>
      <c r="AA63" s="231"/>
      <c r="AB63" s="23"/>
      <c r="AC63" s="198"/>
      <c r="AD63" s="314"/>
      <c r="AE63" s="231"/>
    </row>
    <row r="64" spans="1:31" ht="12">
      <c r="A64" s="69" t="s">
        <v>167</v>
      </c>
      <c r="D64" s="10" t="s">
        <v>15</v>
      </c>
      <c r="H64" s="18"/>
      <c r="I64" s="14"/>
      <c r="J64" s="14"/>
      <c r="K64" s="14"/>
      <c r="L64" s="23"/>
      <c r="M64" s="70"/>
      <c r="N64" s="314"/>
      <c r="O64" s="55"/>
      <c r="P64" s="23"/>
      <c r="Q64" s="70"/>
      <c r="R64" s="314"/>
      <c r="S64" s="55"/>
      <c r="T64" s="23"/>
      <c r="U64" s="198"/>
      <c r="V64" s="314"/>
      <c r="W64" s="231"/>
      <c r="X64" s="23"/>
      <c r="Y64" s="198"/>
      <c r="Z64" s="314"/>
      <c r="AA64" s="231"/>
      <c r="AB64" s="23"/>
      <c r="AC64" s="198"/>
      <c r="AD64" s="314"/>
      <c r="AE64" s="231"/>
    </row>
    <row r="65" spans="1:31" ht="12">
      <c r="A65" s="69"/>
      <c r="C65" s="10" t="s">
        <v>17</v>
      </c>
      <c r="H65" s="18">
        <f>SUM(H54:H64)</f>
        <v>92953</v>
      </c>
      <c r="I65" s="37">
        <f>SUM(I54:I64)</f>
        <v>439833</v>
      </c>
      <c r="J65" s="37">
        <f>SUM(J54:J64)</f>
        <v>0</v>
      </c>
      <c r="K65" s="37">
        <f>SUM(K54:K64)</f>
        <v>532786</v>
      </c>
      <c r="L65" s="23" t="s">
        <v>10</v>
      </c>
      <c r="M65" s="70">
        <f>M61</f>
        <v>49</v>
      </c>
      <c r="N65" s="314">
        <f>O65/M65</f>
        <v>10873.183673469388</v>
      </c>
      <c r="O65" s="55">
        <f>K65</f>
        <v>532786</v>
      </c>
      <c r="P65" s="23" t="s">
        <v>10</v>
      </c>
      <c r="Q65" s="70">
        <f>Q61</f>
        <v>49</v>
      </c>
      <c r="R65" s="314">
        <f>S65/Q65</f>
        <v>10873.183673469388</v>
      </c>
      <c r="S65" s="55">
        <f>O65</f>
        <v>532786</v>
      </c>
      <c r="T65" s="23" t="s">
        <v>10</v>
      </c>
      <c r="U65" s="198">
        <f>U61</f>
        <v>49</v>
      </c>
      <c r="V65" s="314">
        <f>W65/U65</f>
        <v>10873.183673469388</v>
      </c>
      <c r="W65" s="231">
        <f>S65</f>
        <v>532786</v>
      </c>
      <c r="X65" s="23" t="s">
        <v>10</v>
      </c>
      <c r="Y65" s="198">
        <f>Y61</f>
        <v>49</v>
      </c>
      <c r="Z65" s="314">
        <f>AA65/Y65</f>
        <v>10873.183673469388</v>
      </c>
      <c r="AA65" s="231">
        <f>W65</f>
        <v>532786</v>
      </c>
      <c r="AB65" s="23" t="s">
        <v>10</v>
      </c>
      <c r="AC65" s="198">
        <f>AC61</f>
        <v>49</v>
      </c>
      <c r="AD65" s="314">
        <f>AE65/AC65</f>
        <v>10873.183673469388</v>
      </c>
      <c r="AE65" s="231">
        <f>AA65</f>
        <v>532786</v>
      </c>
    </row>
    <row r="66" spans="1:31" ht="12">
      <c r="A66" s="69"/>
      <c r="C66" s="10" t="s">
        <v>11</v>
      </c>
      <c r="H66" s="18"/>
      <c r="I66" s="14"/>
      <c r="J66" s="14"/>
      <c r="K66" s="14"/>
      <c r="L66" s="23"/>
      <c r="M66" s="70"/>
      <c r="N66" s="314"/>
      <c r="O66" s="55"/>
      <c r="P66" s="23"/>
      <c r="Q66" s="70"/>
      <c r="R66" s="314"/>
      <c r="S66" s="55"/>
      <c r="T66" s="23"/>
      <c r="U66" s="198"/>
      <c r="V66" s="314"/>
      <c r="W66" s="231"/>
      <c r="X66" s="23"/>
      <c r="Y66" s="198"/>
      <c r="Z66" s="314"/>
      <c r="AA66" s="231"/>
      <c r="AB66" s="23"/>
      <c r="AC66" s="198"/>
      <c r="AD66" s="314"/>
      <c r="AE66" s="231"/>
    </row>
    <row r="67" spans="1:31" ht="12">
      <c r="A67" s="69" t="s">
        <v>168</v>
      </c>
      <c r="D67" s="10" t="s">
        <v>18</v>
      </c>
      <c r="H67" s="18"/>
      <c r="I67" s="14"/>
      <c r="J67" s="14"/>
      <c r="K67" s="14"/>
      <c r="L67" s="23"/>
      <c r="M67" s="70"/>
      <c r="N67" s="314"/>
      <c r="O67" s="55"/>
      <c r="P67" s="23"/>
      <c r="Q67" s="70"/>
      <c r="R67" s="314"/>
      <c r="S67" s="55"/>
      <c r="T67" s="23"/>
      <c r="U67" s="198"/>
      <c r="V67" s="314"/>
      <c r="W67" s="231"/>
      <c r="X67" s="23"/>
      <c r="Y67" s="198"/>
      <c r="Z67" s="314"/>
      <c r="AA67" s="231"/>
      <c r="AB67" s="23"/>
      <c r="AC67" s="198"/>
      <c r="AD67" s="314"/>
      <c r="AE67" s="231"/>
    </row>
    <row r="68" spans="1:31" ht="12">
      <c r="A68" s="69" t="s">
        <v>169</v>
      </c>
      <c r="D68" s="10" t="s">
        <v>19</v>
      </c>
      <c r="H68" s="18"/>
      <c r="I68" s="14"/>
      <c r="J68" s="14"/>
      <c r="K68" s="14"/>
      <c r="L68" s="23"/>
      <c r="M68" s="70"/>
      <c r="N68" s="314"/>
      <c r="O68" s="55"/>
      <c r="P68" s="23"/>
      <c r="Q68" s="70"/>
      <c r="R68" s="314"/>
      <c r="S68" s="55"/>
      <c r="T68" s="23"/>
      <c r="U68" s="198"/>
      <c r="V68" s="314"/>
      <c r="W68" s="231"/>
      <c r="X68" s="23"/>
      <c r="Y68" s="198"/>
      <c r="Z68" s="314"/>
      <c r="AA68" s="231"/>
      <c r="AB68" s="23"/>
      <c r="AC68" s="198"/>
      <c r="AD68" s="314"/>
      <c r="AE68" s="231"/>
    </row>
    <row r="69" spans="1:31" ht="12">
      <c r="A69" s="69"/>
      <c r="C69" s="10" t="s">
        <v>16</v>
      </c>
      <c r="H69" s="18"/>
      <c r="I69" s="14"/>
      <c r="J69" s="14"/>
      <c r="K69" s="14"/>
      <c r="L69" s="23"/>
      <c r="M69" s="70"/>
      <c r="N69" s="314"/>
      <c r="O69" s="55"/>
      <c r="P69" s="23"/>
      <c r="Q69" s="70"/>
      <c r="R69" s="314"/>
      <c r="S69" s="55"/>
      <c r="T69" s="23"/>
      <c r="U69" s="198"/>
      <c r="V69" s="314"/>
      <c r="W69" s="231"/>
      <c r="X69" s="23"/>
      <c r="Y69" s="198"/>
      <c r="Z69" s="314"/>
      <c r="AA69" s="231"/>
      <c r="AB69" s="23"/>
      <c r="AC69" s="198"/>
      <c r="AD69" s="314"/>
      <c r="AE69" s="231"/>
    </row>
    <row r="70" spans="1:31" ht="12">
      <c r="A70" s="69" t="s">
        <v>170</v>
      </c>
      <c r="D70" s="10" t="s">
        <v>18</v>
      </c>
      <c r="H70" s="18"/>
      <c r="I70" s="14"/>
      <c r="J70" s="14"/>
      <c r="K70" s="14"/>
      <c r="L70" s="23"/>
      <c r="M70" s="70"/>
      <c r="N70" s="314"/>
      <c r="O70" s="55"/>
      <c r="P70" s="23"/>
      <c r="Q70" s="70"/>
      <c r="R70" s="314"/>
      <c r="S70" s="55"/>
      <c r="T70" s="23"/>
      <c r="U70" s="198"/>
      <c r="V70" s="314"/>
      <c r="W70" s="231"/>
      <c r="X70" s="23"/>
      <c r="Y70" s="198"/>
      <c r="Z70" s="314"/>
      <c r="AA70" s="231"/>
      <c r="AB70" s="23"/>
      <c r="AC70" s="198"/>
      <c r="AD70" s="314"/>
      <c r="AE70" s="231"/>
    </row>
    <row r="71" spans="1:31" ht="12">
      <c r="A71" s="69" t="s">
        <v>171</v>
      </c>
      <c r="D71" s="10" t="s">
        <v>20</v>
      </c>
      <c r="H71" s="72"/>
      <c r="I71" s="14"/>
      <c r="J71" s="14"/>
      <c r="K71" s="14"/>
      <c r="L71" s="23"/>
      <c r="M71" s="70"/>
      <c r="N71" s="314"/>
      <c r="O71" s="55"/>
      <c r="P71" s="23"/>
      <c r="Q71" s="70"/>
      <c r="R71" s="314"/>
      <c r="S71" s="55"/>
      <c r="T71" s="23"/>
      <c r="U71" s="198"/>
      <c r="V71" s="314"/>
      <c r="W71" s="231"/>
      <c r="X71" s="23"/>
      <c r="Y71" s="198"/>
      <c r="Z71" s="314"/>
      <c r="AA71" s="231"/>
      <c r="AB71" s="23"/>
      <c r="AC71" s="198"/>
      <c r="AD71" s="314"/>
      <c r="AE71" s="231"/>
    </row>
    <row r="72" spans="1:31" ht="12">
      <c r="A72" s="69"/>
      <c r="C72" s="10" t="s">
        <v>21</v>
      </c>
      <c r="H72" s="18">
        <f>SUM(H66:H71)</f>
        <v>0</v>
      </c>
      <c r="I72" s="37">
        <f>SUM(I66:I71)</f>
        <v>0</v>
      </c>
      <c r="J72" s="37">
        <f>SUM(J66:J71)</f>
        <v>0</v>
      </c>
      <c r="K72" s="26">
        <f>SUM(K66:K71)</f>
        <v>0</v>
      </c>
      <c r="L72" s="23"/>
      <c r="M72" s="70"/>
      <c r="N72" s="314"/>
      <c r="O72" s="55"/>
      <c r="P72" s="23"/>
      <c r="Q72" s="70"/>
      <c r="R72" s="314"/>
      <c r="S72" s="55"/>
      <c r="T72" s="23"/>
      <c r="U72" s="198"/>
      <c r="V72" s="314"/>
      <c r="W72" s="231"/>
      <c r="X72" s="23"/>
      <c r="Y72" s="198"/>
      <c r="Z72" s="314"/>
      <c r="AA72" s="231"/>
      <c r="AB72" s="23"/>
      <c r="AC72" s="198"/>
      <c r="AD72" s="314"/>
      <c r="AE72" s="231"/>
    </row>
    <row r="73" spans="1:31" ht="12">
      <c r="A73" s="69"/>
      <c r="B73" s="10" t="s">
        <v>111</v>
      </c>
      <c r="H73" s="18">
        <f>H65+H72</f>
        <v>92953</v>
      </c>
      <c r="I73" s="37">
        <f>I65+I72</f>
        <v>439833</v>
      </c>
      <c r="J73" s="37">
        <f>J65+J72</f>
        <v>0</v>
      </c>
      <c r="K73" s="26">
        <f>K65+K72</f>
        <v>532786</v>
      </c>
      <c r="L73" s="23" t="s">
        <v>10</v>
      </c>
      <c r="M73" s="70">
        <f>M61</f>
        <v>49</v>
      </c>
      <c r="N73" s="314">
        <f>O73/M73</f>
        <v>10873.183673469388</v>
      </c>
      <c r="O73" s="55">
        <f>K73</f>
        <v>532786</v>
      </c>
      <c r="P73" s="23" t="s">
        <v>10</v>
      </c>
      <c r="Q73" s="70">
        <f>Q61</f>
        <v>49</v>
      </c>
      <c r="R73" s="314">
        <f>S73/Q73</f>
        <v>10873.183673469388</v>
      </c>
      <c r="S73" s="55">
        <f>O73</f>
        <v>532786</v>
      </c>
      <c r="T73" s="23" t="s">
        <v>10</v>
      </c>
      <c r="U73" s="198">
        <f>U61</f>
        <v>49</v>
      </c>
      <c r="V73" s="314">
        <f>W73/U73</f>
        <v>10873.183673469388</v>
      </c>
      <c r="W73" s="231">
        <f>S73</f>
        <v>532786</v>
      </c>
      <c r="X73" s="23" t="s">
        <v>10</v>
      </c>
      <c r="Y73" s="198">
        <f>Y61</f>
        <v>49</v>
      </c>
      <c r="Z73" s="314">
        <f>AA73/Y73</f>
        <v>10873.183673469388</v>
      </c>
      <c r="AA73" s="231">
        <f>W73</f>
        <v>532786</v>
      </c>
      <c r="AB73" s="23" t="s">
        <v>10</v>
      </c>
      <c r="AC73" s="198">
        <f>AC61</f>
        <v>49</v>
      </c>
      <c r="AD73" s="314">
        <f>AE73/AC73</f>
        <v>10873.183673469388</v>
      </c>
      <c r="AE73" s="231">
        <f>AA73</f>
        <v>532786</v>
      </c>
    </row>
    <row r="74" spans="1:31" ht="12">
      <c r="A74" s="69"/>
      <c r="C74" s="8"/>
      <c r="D74" s="8"/>
      <c r="E74" s="8"/>
      <c r="F74" s="8"/>
      <c r="H74" s="18"/>
      <c r="I74" s="14"/>
      <c r="J74" s="14"/>
      <c r="K74" s="14"/>
      <c r="L74" s="23"/>
      <c r="M74" s="21"/>
      <c r="N74" s="314"/>
      <c r="O74" s="58"/>
      <c r="P74" s="23"/>
      <c r="Q74" s="21"/>
      <c r="R74" s="314"/>
      <c r="S74" s="58"/>
      <c r="T74" s="13"/>
      <c r="U74" s="67"/>
      <c r="V74" s="238"/>
      <c r="W74" s="230"/>
      <c r="X74" s="13"/>
      <c r="Y74" s="67"/>
      <c r="Z74" s="238"/>
      <c r="AA74" s="230"/>
      <c r="AB74" s="13"/>
      <c r="AC74" s="67"/>
      <c r="AD74" s="238"/>
      <c r="AE74" s="230"/>
    </row>
    <row r="75" spans="1:31" ht="12">
      <c r="A75" s="86" t="s">
        <v>37</v>
      </c>
      <c r="B75" s="21" t="s">
        <v>115</v>
      </c>
      <c r="C75" s="21"/>
      <c r="D75" s="21"/>
      <c r="E75" s="87"/>
      <c r="F75" s="87"/>
      <c r="G75" s="21"/>
      <c r="H75" s="18"/>
      <c r="I75" s="14"/>
      <c r="J75" s="14"/>
      <c r="K75" s="14"/>
      <c r="L75" s="23"/>
      <c r="M75" s="21"/>
      <c r="N75" s="314"/>
      <c r="O75" s="58"/>
      <c r="P75" s="23"/>
      <c r="Q75" s="21"/>
      <c r="R75" s="314"/>
      <c r="S75" s="58"/>
      <c r="T75" s="13"/>
      <c r="U75" s="67"/>
      <c r="V75" s="238"/>
      <c r="W75" s="230"/>
      <c r="X75" s="13"/>
      <c r="Y75" s="67"/>
      <c r="Z75" s="238"/>
      <c r="AA75" s="230"/>
      <c r="AB75" s="13"/>
      <c r="AC75" s="67"/>
      <c r="AD75" s="238"/>
      <c r="AE75" s="230"/>
    </row>
    <row r="76" spans="1:31" ht="12">
      <c r="A76" s="69"/>
      <c r="C76" s="10" t="s">
        <v>11</v>
      </c>
      <c r="H76" s="18"/>
      <c r="I76" s="14"/>
      <c r="J76" s="14"/>
      <c r="K76" s="14"/>
      <c r="L76" s="23"/>
      <c r="M76" s="70"/>
      <c r="N76" s="314"/>
      <c r="O76" s="55"/>
      <c r="P76" s="23"/>
      <c r="Q76" s="70"/>
      <c r="R76" s="314"/>
      <c r="S76" s="55"/>
      <c r="T76" s="13"/>
      <c r="U76" s="67"/>
      <c r="V76" s="238"/>
      <c r="W76" s="230"/>
      <c r="X76" s="13"/>
      <c r="Y76" s="67"/>
      <c r="Z76" s="238"/>
      <c r="AA76" s="230"/>
      <c r="AB76" s="13"/>
      <c r="AC76" s="67"/>
      <c r="AD76" s="238"/>
      <c r="AE76" s="230"/>
    </row>
    <row r="77" spans="1:31" ht="12">
      <c r="A77" s="69" t="s">
        <v>172</v>
      </c>
      <c r="D77" s="10" t="s">
        <v>12</v>
      </c>
      <c r="H77" s="18"/>
      <c r="I77" s="14"/>
      <c r="J77" s="14"/>
      <c r="K77" s="14"/>
      <c r="L77" s="23"/>
      <c r="M77" s="70"/>
      <c r="N77" s="314"/>
      <c r="O77" s="55"/>
      <c r="P77" s="23"/>
      <c r="Q77" s="70"/>
      <c r="R77" s="314"/>
      <c r="S77" s="55"/>
      <c r="T77" s="13"/>
      <c r="U77" s="67"/>
      <c r="V77" s="238"/>
      <c r="W77" s="230"/>
      <c r="X77" s="13"/>
      <c r="Y77" s="67"/>
      <c r="Z77" s="238"/>
      <c r="AA77" s="230"/>
      <c r="AB77" s="13"/>
      <c r="AC77" s="67"/>
      <c r="AD77" s="238"/>
      <c r="AE77" s="230"/>
    </row>
    <row r="78" spans="1:31" ht="12">
      <c r="A78" s="69" t="s">
        <v>173</v>
      </c>
      <c r="D78" s="10" t="s">
        <v>13</v>
      </c>
      <c r="H78" s="18"/>
      <c r="I78" s="14"/>
      <c r="J78" s="14"/>
      <c r="K78" s="14"/>
      <c r="L78" s="23"/>
      <c r="M78" s="70"/>
      <c r="N78" s="314"/>
      <c r="O78" s="55"/>
      <c r="P78" s="23"/>
      <c r="Q78" s="70"/>
      <c r="R78" s="314"/>
      <c r="S78" s="55"/>
      <c r="T78" s="13"/>
      <c r="U78" s="67"/>
      <c r="V78" s="238"/>
      <c r="W78" s="230"/>
      <c r="X78" s="13"/>
      <c r="Y78" s="67"/>
      <c r="Z78" s="238"/>
      <c r="AA78" s="230"/>
      <c r="AB78" s="13"/>
      <c r="AC78" s="67"/>
      <c r="AD78" s="238"/>
      <c r="AE78" s="230"/>
    </row>
    <row r="79" spans="1:31" ht="12">
      <c r="A79" s="69" t="s">
        <v>174</v>
      </c>
      <c r="D79" s="10" t="s">
        <v>14</v>
      </c>
      <c r="H79" s="18"/>
      <c r="I79" s="14"/>
      <c r="J79" s="14"/>
      <c r="K79" s="14"/>
      <c r="L79" s="23"/>
      <c r="M79" s="70"/>
      <c r="N79" s="314"/>
      <c r="O79" s="55"/>
      <c r="P79" s="23"/>
      <c r="Q79" s="70"/>
      <c r="R79" s="314"/>
      <c r="S79" s="55"/>
      <c r="T79" s="13"/>
      <c r="U79" s="67"/>
      <c r="V79" s="238"/>
      <c r="W79" s="230"/>
      <c r="X79" s="13"/>
      <c r="Y79" s="67"/>
      <c r="Z79" s="238"/>
      <c r="AA79" s="230"/>
      <c r="AB79" s="13"/>
      <c r="AC79" s="67"/>
      <c r="AD79" s="238"/>
      <c r="AE79" s="230"/>
    </row>
    <row r="80" spans="1:31" ht="12">
      <c r="A80" s="69" t="s">
        <v>175</v>
      </c>
      <c r="D80" s="10" t="s">
        <v>15</v>
      </c>
      <c r="H80" s="18"/>
      <c r="I80" s="14"/>
      <c r="J80" s="14"/>
      <c r="K80" s="14"/>
      <c r="L80" s="23"/>
      <c r="M80" s="70"/>
      <c r="N80" s="314"/>
      <c r="O80" s="55"/>
      <c r="P80" s="23"/>
      <c r="Q80" s="70"/>
      <c r="R80" s="314"/>
      <c r="S80" s="55"/>
      <c r="T80" s="13"/>
      <c r="U80" s="67"/>
      <c r="V80" s="238"/>
      <c r="W80" s="230"/>
      <c r="X80" s="13"/>
      <c r="Y80" s="67"/>
      <c r="Z80" s="238"/>
      <c r="AA80" s="230"/>
      <c r="AB80" s="13"/>
      <c r="AC80" s="67"/>
      <c r="AD80" s="238"/>
      <c r="AE80" s="230"/>
    </row>
    <row r="81" spans="1:31" ht="12">
      <c r="A81" s="69"/>
      <c r="C81" s="10" t="s">
        <v>16</v>
      </c>
      <c r="H81" s="18"/>
      <c r="I81" s="14"/>
      <c r="J81" s="14"/>
      <c r="K81" s="14"/>
      <c r="L81" s="23"/>
      <c r="M81" s="70"/>
      <c r="N81" s="314"/>
      <c r="O81" s="55"/>
      <c r="P81" s="23"/>
      <c r="Q81" s="70"/>
      <c r="R81" s="314"/>
      <c r="S81" s="55"/>
      <c r="T81" s="13"/>
      <c r="U81" s="67"/>
      <c r="V81" s="238"/>
      <c r="W81" s="230"/>
      <c r="X81" s="13"/>
      <c r="Y81" s="67"/>
      <c r="Z81" s="238"/>
      <c r="AA81" s="230"/>
      <c r="AB81" s="13"/>
      <c r="AC81" s="67"/>
      <c r="AD81" s="238"/>
      <c r="AE81" s="230"/>
    </row>
    <row r="82" spans="1:31" ht="12">
      <c r="A82" s="69" t="s">
        <v>176</v>
      </c>
      <c r="D82" s="10" t="s">
        <v>12</v>
      </c>
      <c r="H82" s="18">
        <f>41937+9962+723+9842+9842+16591</f>
        <v>88897</v>
      </c>
      <c r="I82" s="14">
        <f>177135+61417+4264+19108+14725</f>
        <v>276649</v>
      </c>
      <c r="J82" s="14">
        <f>36278</f>
        <v>36278</v>
      </c>
      <c r="K82" s="14">
        <f>H82+I82+J82</f>
        <v>401824</v>
      </c>
      <c r="L82" s="23" t="s">
        <v>10</v>
      </c>
      <c r="M82" s="70">
        <v>7</v>
      </c>
      <c r="N82" s="314">
        <f>O82/M82</f>
        <v>57403.42857142857</v>
      </c>
      <c r="O82" s="55">
        <f>K82</f>
        <v>401824</v>
      </c>
      <c r="P82" s="23" t="s">
        <v>10</v>
      </c>
      <c r="Q82" s="70">
        <v>7</v>
      </c>
      <c r="R82" s="314">
        <f>S82/Q82</f>
        <v>57403.42857142857</v>
      </c>
      <c r="S82" s="55">
        <f>O82</f>
        <v>401824</v>
      </c>
      <c r="T82" s="23" t="s">
        <v>10</v>
      </c>
      <c r="U82" s="198">
        <v>7</v>
      </c>
      <c r="V82" s="314">
        <f>W82/U82</f>
        <v>57403.42857142857</v>
      </c>
      <c r="W82" s="231">
        <f>S82</f>
        <v>401824</v>
      </c>
      <c r="X82" s="23" t="s">
        <v>10</v>
      </c>
      <c r="Y82" s="198">
        <v>7</v>
      </c>
      <c r="Z82" s="314">
        <f>AA82/Y82</f>
        <v>57403.42857142857</v>
      </c>
      <c r="AA82" s="231">
        <f>W82</f>
        <v>401824</v>
      </c>
      <c r="AB82" s="23" t="s">
        <v>10</v>
      </c>
      <c r="AC82" s="198">
        <v>7</v>
      </c>
      <c r="AD82" s="314">
        <f>AE82/AC82</f>
        <v>57403.42857142857</v>
      </c>
      <c r="AE82" s="231">
        <f>AA82</f>
        <v>401824</v>
      </c>
    </row>
    <row r="83" spans="1:31" ht="12">
      <c r="A83" s="69" t="s">
        <v>177</v>
      </c>
      <c r="D83" s="10" t="s">
        <v>13</v>
      </c>
      <c r="H83" s="18">
        <f>803+1085</f>
        <v>1888</v>
      </c>
      <c r="I83" s="14">
        <f>4953+864</f>
        <v>5817</v>
      </c>
      <c r="J83" s="14"/>
      <c r="K83" s="14">
        <f>H83+I83+J83</f>
        <v>7705</v>
      </c>
      <c r="L83" s="23" t="s">
        <v>10</v>
      </c>
      <c r="M83" s="70">
        <v>7</v>
      </c>
      <c r="N83" s="314">
        <f>O83/M83</f>
        <v>1100.7142857142858</v>
      </c>
      <c r="O83" s="55">
        <f>K83</f>
        <v>7705</v>
      </c>
      <c r="P83" s="23" t="s">
        <v>10</v>
      </c>
      <c r="Q83" s="70">
        <v>7</v>
      </c>
      <c r="R83" s="314">
        <f>S83/Q83</f>
        <v>1100.7142857142858</v>
      </c>
      <c r="S83" s="55">
        <f>O83</f>
        <v>7705</v>
      </c>
      <c r="T83" s="23" t="s">
        <v>10</v>
      </c>
      <c r="U83" s="198">
        <v>7</v>
      </c>
      <c r="V83" s="314">
        <f>W83/U83</f>
        <v>1100.7142857142858</v>
      </c>
      <c r="W83" s="231">
        <f>S83</f>
        <v>7705</v>
      </c>
      <c r="X83" s="23" t="s">
        <v>10</v>
      </c>
      <c r="Y83" s="198">
        <v>7</v>
      </c>
      <c r="Z83" s="314">
        <f>AA83/Y83</f>
        <v>1100.7142857142858</v>
      </c>
      <c r="AA83" s="231">
        <f>W83</f>
        <v>7705</v>
      </c>
      <c r="AB83" s="23" t="s">
        <v>10</v>
      </c>
      <c r="AC83" s="198">
        <v>7</v>
      </c>
      <c r="AD83" s="314">
        <f>AE83/AC83</f>
        <v>1100.7142857142858</v>
      </c>
      <c r="AE83" s="231">
        <f>AA83</f>
        <v>7705</v>
      </c>
    </row>
    <row r="84" spans="1:31" ht="12">
      <c r="A84" s="69" t="s">
        <v>178</v>
      </c>
      <c r="D84" s="10" t="s">
        <v>14</v>
      </c>
      <c r="H84" s="18"/>
      <c r="I84" s="14"/>
      <c r="J84" s="14"/>
      <c r="K84" s="14"/>
      <c r="L84" s="23"/>
      <c r="M84" s="70"/>
      <c r="N84" s="314"/>
      <c r="O84" s="55"/>
      <c r="P84" s="23"/>
      <c r="Q84" s="70"/>
      <c r="R84" s="314"/>
      <c r="S84" s="55"/>
      <c r="T84" s="23"/>
      <c r="U84" s="198"/>
      <c r="V84" s="314"/>
      <c r="W84" s="231"/>
      <c r="X84" s="23"/>
      <c r="Y84" s="198"/>
      <c r="Z84" s="314"/>
      <c r="AA84" s="231"/>
      <c r="AB84" s="23"/>
      <c r="AC84" s="198"/>
      <c r="AD84" s="314"/>
      <c r="AE84" s="231"/>
    </row>
    <row r="85" spans="1:31" ht="12">
      <c r="A85" s="69" t="s">
        <v>179</v>
      </c>
      <c r="D85" s="10" t="s">
        <v>15</v>
      </c>
      <c r="H85" s="18"/>
      <c r="I85" s="14"/>
      <c r="J85" s="14"/>
      <c r="K85" s="14"/>
      <c r="L85" s="23"/>
      <c r="M85" s="70"/>
      <c r="N85" s="314"/>
      <c r="O85" s="55"/>
      <c r="P85" s="23"/>
      <c r="Q85" s="70"/>
      <c r="R85" s="314"/>
      <c r="S85" s="55"/>
      <c r="T85" s="23"/>
      <c r="U85" s="198"/>
      <c r="V85" s="314"/>
      <c r="W85" s="231"/>
      <c r="X85" s="23"/>
      <c r="Y85" s="198"/>
      <c r="Z85" s="314"/>
      <c r="AA85" s="231"/>
      <c r="AB85" s="23"/>
      <c r="AC85" s="198"/>
      <c r="AD85" s="314"/>
      <c r="AE85" s="231"/>
    </row>
    <row r="86" spans="1:31" ht="12">
      <c r="A86" s="69"/>
      <c r="C86" s="10" t="s">
        <v>17</v>
      </c>
      <c r="H86" s="18">
        <f>SUM(H75:H85)</f>
        <v>90785</v>
      </c>
      <c r="I86" s="37">
        <f>SUM(I75:I85)</f>
        <v>282466</v>
      </c>
      <c r="J86" s="37">
        <f>SUM(J75:J85)</f>
        <v>36278</v>
      </c>
      <c r="K86" s="37">
        <f>SUM(K75:K85)</f>
        <v>409529</v>
      </c>
      <c r="L86" s="23" t="s">
        <v>10</v>
      </c>
      <c r="M86" s="70">
        <f>M82</f>
        <v>7</v>
      </c>
      <c r="N86" s="314">
        <f>O86/M86</f>
        <v>58504.142857142855</v>
      </c>
      <c r="O86" s="55">
        <f>K86</f>
        <v>409529</v>
      </c>
      <c r="P86" s="23" t="s">
        <v>10</v>
      </c>
      <c r="Q86" s="70">
        <f>Q82</f>
        <v>7</v>
      </c>
      <c r="R86" s="314">
        <f>S86/Q86</f>
        <v>58504.142857142855</v>
      </c>
      <c r="S86" s="55">
        <f>O86</f>
        <v>409529</v>
      </c>
      <c r="T86" s="23" t="s">
        <v>10</v>
      </c>
      <c r="U86" s="198">
        <f>U82</f>
        <v>7</v>
      </c>
      <c r="V86" s="314">
        <f>W86/U86</f>
        <v>58504.142857142855</v>
      </c>
      <c r="W86" s="231">
        <f>S86</f>
        <v>409529</v>
      </c>
      <c r="X86" s="23" t="s">
        <v>10</v>
      </c>
      <c r="Y86" s="198">
        <f>Y82</f>
        <v>7</v>
      </c>
      <c r="Z86" s="314">
        <f>AA86/Y86</f>
        <v>58504.142857142855</v>
      </c>
      <c r="AA86" s="231">
        <f>W86</f>
        <v>409529</v>
      </c>
      <c r="AB86" s="23" t="s">
        <v>10</v>
      </c>
      <c r="AC86" s="198">
        <f>AC82</f>
        <v>7</v>
      </c>
      <c r="AD86" s="314">
        <f>AE86/AC86</f>
        <v>58504.142857142855</v>
      </c>
      <c r="AE86" s="231">
        <f>AA86</f>
        <v>409529</v>
      </c>
    </row>
    <row r="87" spans="1:31" ht="12">
      <c r="A87" s="69"/>
      <c r="C87" s="10" t="s">
        <v>11</v>
      </c>
      <c r="H87" s="18"/>
      <c r="I87" s="14"/>
      <c r="J87" s="14"/>
      <c r="K87" s="14"/>
      <c r="L87" s="23"/>
      <c r="M87" s="70"/>
      <c r="N87" s="314"/>
      <c r="O87" s="55"/>
      <c r="P87" s="23"/>
      <c r="Q87" s="70"/>
      <c r="R87" s="314"/>
      <c r="S87" s="55"/>
      <c r="T87" s="23"/>
      <c r="U87" s="198"/>
      <c r="V87" s="314"/>
      <c r="W87" s="231"/>
      <c r="X87" s="23"/>
      <c r="Y87" s="198"/>
      <c r="Z87" s="314"/>
      <c r="AA87" s="231"/>
      <c r="AB87" s="23"/>
      <c r="AC87" s="198"/>
      <c r="AD87" s="314"/>
      <c r="AE87" s="231"/>
    </row>
    <row r="88" spans="1:31" ht="12">
      <c r="A88" s="69" t="s">
        <v>221</v>
      </c>
      <c r="D88" s="10" t="s">
        <v>18</v>
      </c>
      <c r="H88" s="18"/>
      <c r="I88" s="14"/>
      <c r="J88" s="14"/>
      <c r="K88" s="14"/>
      <c r="L88" s="23"/>
      <c r="M88" s="70"/>
      <c r="N88" s="314"/>
      <c r="O88" s="55"/>
      <c r="P88" s="23"/>
      <c r="Q88" s="70"/>
      <c r="R88" s="314"/>
      <c r="S88" s="55"/>
      <c r="T88" s="23"/>
      <c r="U88" s="198"/>
      <c r="V88" s="314"/>
      <c r="W88" s="231"/>
      <c r="X88" s="23"/>
      <c r="Y88" s="198"/>
      <c r="Z88" s="314"/>
      <c r="AA88" s="231"/>
      <c r="AB88" s="23"/>
      <c r="AC88" s="198"/>
      <c r="AD88" s="314"/>
      <c r="AE88" s="231"/>
    </row>
    <row r="89" spans="1:31" ht="12">
      <c r="A89" s="69" t="s">
        <v>180</v>
      </c>
      <c r="D89" s="10" t="s">
        <v>19</v>
      </c>
      <c r="H89" s="18"/>
      <c r="I89" s="14"/>
      <c r="J89" s="14"/>
      <c r="K89" s="14"/>
      <c r="L89" s="23"/>
      <c r="M89" s="70"/>
      <c r="N89" s="314"/>
      <c r="O89" s="55"/>
      <c r="P89" s="23"/>
      <c r="Q89" s="70"/>
      <c r="R89" s="314"/>
      <c r="S89" s="55"/>
      <c r="T89" s="23"/>
      <c r="U89" s="198"/>
      <c r="V89" s="314"/>
      <c r="W89" s="231"/>
      <c r="X89" s="23"/>
      <c r="Y89" s="198"/>
      <c r="Z89" s="314"/>
      <c r="AA89" s="231"/>
      <c r="AB89" s="23"/>
      <c r="AC89" s="198"/>
      <c r="AD89" s="314"/>
      <c r="AE89" s="231"/>
    </row>
    <row r="90" spans="1:31" ht="12">
      <c r="A90" s="69"/>
      <c r="C90" s="10" t="s">
        <v>16</v>
      </c>
      <c r="H90" s="18"/>
      <c r="I90" s="14"/>
      <c r="J90" s="14"/>
      <c r="K90" s="14"/>
      <c r="L90" s="23"/>
      <c r="M90" s="70"/>
      <c r="N90" s="314"/>
      <c r="O90" s="55"/>
      <c r="P90" s="23"/>
      <c r="Q90" s="70"/>
      <c r="R90" s="314"/>
      <c r="S90" s="55"/>
      <c r="T90" s="23"/>
      <c r="U90" s="198"/>
      <c r="V90" s="314"/>
      <c r="W90" s="231"/>
      <c r="X90" s="23"/>
      <c r="Y90" s="198"/>
      <c r="Z90" s="314"/>
      <c r="AA90" s="231"/>
      <c r="AB90" s="23"/>
      <c r="AC90" s="198"/>
      <c r="AD90" s="314"/>
      <c r="AE90" s="231"/>
    </row>
    <row r="91" spans="1:31" ht="12">
      <c r="A91" s="69" t="s">
        <v>181</v>
      </c>
      <c r="D91" s="10" t="s">
        <v>18</v>
      </c>
      <c r="H91" s="18"/>
      <c r="I91" s="14"/>
      <c r="J91" s="14"/>
      <c r="K91" s="14"/>
      <c r="L91" s="23"/>
      <c r="M91" s="70"/>
      <c r="N91" s="314"/>
      <c r="O91" s="55"/>
      <c r="P91" s="23"/>
      <c r="Q91" s="70"/>
      <c r="R91" s="314"/>
      <c r="S91" s="55"/>
      <c r="T91" s="23"/>
      <c r="U91" s="198"/>
      <c r="V91" s="314"/>
      <c r="W91" s="231"/>
      <c r="X91" s="23"/>
      <c r="Y91" s="198"/>
      <c r="Z91" s="314"/>
      <c r="AA91" s="231"/>
      <c r="AB91" s="23"/>
      <c r="AC91" s="198"/>
      <c r="AD91" s="314"/>
      <c r="AE91" s="231"/>
    </row>
    <row r="92" spans="1:31" ht="12">
      <c r="A92" s="69" t="s">
        <v>182</v>
      </c>
      <c r="D92" s="10" t="s">
        <v>20</v>
      </c>
      <c r="H92" s="18">
        <f>4620</f>
        <v>4620</v>
      </c>
      <c r="I92" s="14">
        <f>6166</f>
        <v>6166</v>
      </c>
      <c r="J92" s="14">
        <f>108+198</f>
        <v>306</v>
      </c>
      <c r="K92" s="14">
        <f>H92+I92+J92</f>
        <v>11092</v>
      </c>
      <c r="L92" s="23" t="s">
        <v>10</v>
      </c>
      <c r="M92" s="70">
        <v>7</v>
      </c>
      <c r="N92" s="314">
        <f>O92/M92</f>
        <v>1584.5714285714287</v>
      </c>
      <c r="O92" s="55">
        <f>K92</f>
        <v>11092</v>
      </c>
      <c r="P92" s="23" t="s">
        <v>10</v>
      </c>
      <c r="Q92" s="70">
        <v>7</v>
      </c>
      <c r="R92" s="314">
        <f>S92/Q92</f>
        <v>1584.5714285714287</v>
      </c>
      <c r="S92" s="55">
        <f>O92</f>
        <v>11092</v>
      </c>
      <c r="T92" s="23" t="s">
        <v>10</v>
      </c>
      <c r="U92" s="198">
        <v>7</v>
      </c>
      <c r="V92" s="314">
        <f>W92/U92</f>
        <v>1584.5714285714287</v>
      </c>
      <c r="W92" s="231">
        <f>S92</f>
        <v>11092</v>
      </c>
      <c r="X92" s="23" t="s">
        <v>10</v>
      </c>
      <c r="Y92" s="198">
        <v>7</v>
      </c>
      <c r="Z92" s="314">
        <f>AA92/Y92</f>
        <v>1584.5714285714287</v>
      </c>
      <c r="AA92" s="231">
        <f>W92</f>
        <v>11092</v>
      </c>
      <c r="AB92" s="23" t="s">
        <v>10</v>
      </c>
      <c r="AC92" s="198">
        <v>7</v>
      </c>
      <c r="AD92" s="314">
        <f>AE92/AC92</f>
        <v>1584.5714285714287</v>
      </c>
      <c r="AE92" s="231">
        <f>AA92</f>
        <v>11092</v>
      </c>
    </row>
    <row r="93" spans="1:31" ht="12">
      <c r="A93" s="69"/>
      <c r="C93" s="10" t="s">
        <v>21</v>
      </c>
      <c r="H93" s="18">
        <f>SUM(H87:H92)</f>
        <v>4620</v>
      </c>
      <c r="I93" s="37">
        <f>SUM(I87:I92)</f>
        <v>6166</v>
      </c>
      <c r="J93" s="37">
        <f>SUM(J87:J92)</f>
        <v>306</v>
      </c>
      <c r="K93" s="37">
        <f>SUM(K87:K92)</f>
        <v>11092</v>
      </c>
      <c r="L93" s="23" t="s">
        <v>10</v>
      </c>
      <c r="M93" s="70">
        <f>M92</f>
        <v>7</v>
      </c>
      <c r="N93" s="314">
        <f>O93/M93</f>
        <v>1584.5714285714287</v>
      </c>
      <c r="O93" s="55">
        <f>K93</f>
        <v>11092</v>
      </c>
      <c r="P93" s="23" t="s">
        <v>10</v>
      </c>
      <c r="Q93" s="70">
        <f>Q92</f>
        <v>7</v>
      </c>
      <c r="R93" s="314">
        <f>S93/Q93</f>
        <v>1584.5714285714287</v>
      </c>
      <c r="S93" s="55">
        <f>O93</f>
        <v>11092</v>
      </c>
      <c r="T93" s="23" t="s">
        <v>10</v>
      </c>
      <c r="U93" s="198">
        <f>U92</f>
        <v>7</v>
      </c>
      <c r="V93" s="314">
        <f>W93/U93</f>
        <v>1584.5714285714287</v>
      </c>
      <c r="W93" s="231">
        <f>S93</f>
        <v>11092</v>
      </c>
      <c r="X93" s="23" t="s">
        <v>10</v>
      </c>
      <c r="Y93" s="198">
        <f>Y92</f>
        <v>7</v>
      </c>
      <c r="Z93" s="314">
        <f>AA93/Y93</f>
        <v>1584.5714285714287</v>
      </c>
      <c r="AA93" s="231">
        <f>W93</f>
        <v>11092</v>
      </c>
      <c r="AB93" s="23" t="s">
        <v>10</v>
      </c>
      <c r="AC93" s="198">
        <f>AC92</f>
        <v>7</v>
      </c>
      <c r="AD93" s="314">
        <f>AE93/AC93</f>
        <v>1584.5714285714287</v>
      </c>
      <c r="AE93" s="231">
        <f>AA93</f>
        <v>11092</v>
      </c>
    </row>
    <row r="94" spans="1:31" ht="12">
      <c r="A94" s="69"/>
      <c r="B94" s="10" t="s">
        <v>116</v>
      </c>
      <c r="H94" s="18">
        <f>H86+H93</f>
        <v>95405</v>
      </c>
      <c r="I94" s="37">
        <f>I86+I93</f>
        <v>288632</v>
      </c>
      <c r="J94" s="37">
        <f>J86+J93</f>
        <v>36584</v>
      </c>
      <c r="K94" s="26">
        <f>K86+K93</f>
        <v>420621</v>
      </c>
      <c r="L94" s="23" t="s">
        <v>10</v>
      </c>
      <c r="M94" s="198">
        <f>M92</f>
        <v>7</v>
      </c>
      <c r="N94" s="314">
        <f>O94/M94</f>
        <v>60088.71428571428</v>
      </c>
      <c r="O94" s="55">
        <f>K94</f>
        <v>420621</v>
      </c>
      <c r="P94" s="23" t="s">
        <v>10</v>
      </c>
      <c r="Q94" s="198">
        <f>Q92</f>
        <v>7</v>
      </c>
      <c r="R94" s="314">
        <f>S94/Q94</f>
        <v>60088.71428571428</v>
      </c>
      <c r="S94" s="55">
        <f>O94</f>
        <v>420621</v>
      </c>
      <c r="T94" s="23" t="s">
        <v>10</v>
      </c>
      <c r="U94" s="198">
        <f>U92</f>
        <v>7</v>
      </c>
      <c r="V94" s="314">
        <f>W94/U94</f>
        <v>60088.71428571428</v>
      </c>
      <c r="W94" s="231">
        <f>S94</f>
        <v>420621</v>
      </c>
      <c r="X94" s="23" t="s">
        <v>10</v>
      </c>
      <c r="Y94" s="198">
        <f>Y92</f>
        <v>7</v>
      </c>
      <c r="Z94" s="314">
        <f>AA94/Y94</f>
        <v>60088.71428571428</v>
      </c>
      <c r="AA94" s="231">
        <f>W94</f>
        <v>420621</v>
      </c>
      <c r="AB94" s="23" t="s">
        <v>10</v>
      </c>
      <c r="AC94" s="198">
        <f>AC92</f>
        <v>7</v>
      </c>
      <c r="AD94" s="314">
        <f>AE94/AC94</f>
        <v>60088.71428571428</v>
      </c>
      <c r="AE94" s="231">
        <f>AA94</f>
        <v>420621</v>
      </c>
    </row>
    <row r="95" spans="1:31" ht="12">
      <c r="A95" s="69"/>
      <c r="H95" s="18"/>
      <c r="I95" s="14"/>
      <c r="J95" s="14"/>
      <c r="K95" s="14"/>
      <c r="L95" s="23"/>
      <c r="M95" s="198"/>
      <c r="N95" s="320"/>
      <c r="O95" s="199"/>
      <c r="P95" s="23"/>
      <c r="Q95" s="198"/>
      <c r="R95" s="320"/>
      <c r="S95" s="55"/>
      <c r="T95" s="13"/>
      <c r="U95" s="67"/>
      <c r="V95" s="238"/>
      <c r="W95" s="230"/>
      <c r="X95" s="13"/>
      <c r="Y95" s="67"/>
      <c r="Z95" s="238"/>
      <c r="AA95" s="230"/>
      <c r="AB95" s="13"/>
      <c r="AC95" s="67"/>
      <c r="AD95" s="238"/>
      <c r="AE95" s="230"/>
    </row>
    <row r="96" spans="1:31" ht="12">
      <c r="A96" s="69" t="s">
        <v>38</v>
      </c>
      <c r="B96" s="10" t="s">
        <v>220</v>
      </c>
      <c r="H96" s="18"/>
      <c r="I96" s="14"/>
      <c r="J96" s="14"/>
      <c r="K96" s="14"/>
      <c r="L96" s="23"/>
      <c r="M96" s="21"/>
      <c r="N96" s="314"/>
      <c r="O96" s="55"/>
      <c r="P96" s="23"/>
      <c r="Q96" s="21"/>
      <c r="R96" s="314"/>
      <c r="S96" s="55"/>
      <c r="T96" s="13"/>
      <c r="U96" s="67"/>
      <c r="V96" s="238"/>
      <c r="W96" s="230"/>
      <c r="X96" s="13"/>
      <c r="Y96" s="67"/>
      <c r="Z96" s="238"/>
      <c r="AA96" s="230"/>
      <c r="AB96" s="13"/>
      <c r="AC96" s="67"/>
      <c r="AD96" s="238"/>
      <c r="AE96" s="230"/>
    </row>
    <row r="97" spans="1:31" ht="12">
      <c r="A97" s="69"/>
      <c r="C97" s="10" t="s">
        <v>11</v>
      </c>
      <c r="H97" s="18"/>
      <c r="I97" s="14"/>
      <c r="J97" s="14"/>
      <c r="K97" s="14"/>
      <c r="L97" s="23"/>
      <c r="M97" s="70"/>
      <c r="N97" s="314"/>
      <c r="O97" s="55"/>
      <c r="P97" s="23"/>
      <c r="Q97" s="70"/>
      <c r="R97" s="314"/>
      <c r="S97" s="55"/>
      <c r="T97" s="13"/>
      <c r="U97" s="67"/>
      <c r="V97" s="238"/>
      <c r="W97" s="230"/>
      <c r="X97" s="13"/>
      <c r="Y97" s="67"/>
      <c r="Z97" s="238"/>
      <c r="AA97" s="230"/>
      <c r="AB97" s="13"/>
      <c r="AC97" s="67"/>
      <c r="AD97" s="238"/>
      <c r="AE97" s="230"/>
    </row>
    <row r="98" spans="1:31" ht="12">
      <c r="A98" s="69" t="s">
        <v>183</v>
      </c>
      <c r="D98" s="10" t="s">
        <v>12</v>
      </c>
      <c r="H98" s="18"/>
      <c r="I98" s="14"/>
      <c r="J98" s="14"/>
      <c r="K98" s="14"/>
      <c r="L98" s="23"/>
      <c r="M98" s="70"/>
      <c r="N98" s="314"/>
      <c r="O98" s="55"/>
      <c r="P98" s="23"/>
      <c r="Q98" s="70"/>
      <c r="R98" s="314"/>
      <c r="S98" s="55"/>
      <c r="T98" s="13"/>
      <c r="U98" s="67"/>
      <c r="V98" s="238"/>
      <c r="W98" s="230"/>
      <c r="X98" s="13"/>
      <c r="Y98" s="67"/>
      <c r="Z98" s="238"/>
      <c r="AA98" s="230"/>
      <c r="AB98" s="13"/>
      <c r="AC98" s="67"/>
      <c r="AD98" s="238"/>
      <c r="AE98" s="230"/>
    </row>
    <row r="99" spans="1:31" ht="12">
      <c r="A99" s="69" t="s">
        <v>184</v>
      </c>
      <c r="D99" s="10" t="s">
        <v>13</v>
      </c>
      <c r="H99" s="18"/>
      <c r="I99" s="14"/>
      <c r="J99" s="14"/>
      <c r="K99" s="14"/>
      <c r="L99" s="23"/>
      <c r="M99" s="70"/>
      <c r="N99" s="314"/>
      <c r="O99" s="55"/>
      <c r="P99" s="23"/>
      <c r="Q99" s="70"/>
      <c r="R99" s="314"/>
      <c r="S99" s="55"/>
      <c r="T99" s="13"/>
      <c r="U99" s="67"/>
      <c r="V99" s="238"/>
      <c r="W99" s="230"/>
      <c r="X99" s="13"/>
      <c r="Y99" s="67"/>
      <c r="Z99" s="238"/>
      <c r="AA99" s="230"/>
      <c r="AB99" s="13"/>
      <c r="AC99" s="67"/>
      <c r="AD99" s="238"/>
      <c r="AE99" s="230"/>
    </row>
    <row r="100" spans="1:31" ht="12">
      <c r="A100" s="69" t="s">
        <v>222</v>
      </c>
      <c r="D100" s="10" t="s">
        <v>14</v>
      </c>
      <c r="H100" s="18"/>
      <c r="I100" s="14"/>
      <c r="J100" s="14"/>
      <c r="K100" s="14"/>
      <c r="L100" s="23"/>
      <c r="M100" s="70"/>
      <c r="N100" s="314"/>
      <c r="O100" s="55"/>
      <c r="P100" s="23"/>
      <c r="Q100" s="70"/>
      <c r="R100" s="314"/>
      <c r="S100" s="55"/>
      <c r="T100" s="13"/>
      <c r="U100" s="67"/>
      <c r="V100" s="238"/>
      <c r="W100" s="230"/>
      <c r="X100" s="13"/>
      <c r="Y100" s="67"/>
      <c r="Z100" s="238"/>
      <c r="AA100" s="230"/>
      <c r="AB100" s="13"/>
      <c r="AC100" s="67"/>
      <c r="AD100" s="238"/>
      <c r="AE100" s="230"/>
    </row>
    <row r="101" spans="1:31" ht="12">
      <c r="A101" s="69" t="s">
        <v>223</v>
      </c>
      <c r="D101" s="10" t="s">
        <v>15</v>
      </c>
      <c r="H101" s="18"/>
      <c r="I101" s="14"/>
      <c r="J101" s="14"/>
      <c r="K101" s="14"/>
      <c r="L101" s="23"/>
      <c r="M101" s="70"/>
      <c r="N101" s="314"/>
      <c r="O101" s="55"/>
      <c r="P101" s="23"/>
      <c r="Q101" s="70"/>
      <c r="R101" s="314"/>
      <c r="S101" s="55"/>
      <c r="T101" s="13"/>
      <c r="U101" s="67"/>
      <c r="V101" s="238"/>
      <c r="W101" s="230"/>
      <c r="X101" s="13"/>
      <c r="Y101" s="67"/>
      <c r="Z101" s="238"/>
      <c r="AA101" s="230"/>
      <c r="AB101" s="13"/>
      <c r="AC101" s="67"/>
      <c r="AD101" s="238"/>
      <c r="AE101" s="230"/>
    </row>
    <row r="102" spans="1:31" ht="12">
      <c r="A102" s="69"/>
      <c r="C102" s="10" t="s">
        <v>16</v>
      </c>
      <c r="H102" s="18"/>
      <c r="I102" s="14"/>
      <c r="J102" s="14"/>
      <c r="K102" s="14"/>
      <c r="L102" s="23"/>
      <c r="M102" s="70"/>
      <c r="N102" s="314"/>
      <c r="O102" s="55"/>
      <c r="P102" s="23"/>
      <c r="Q102" s="70"/>
      <c r="R102" s="314"/>
      <c r="S102" s="55"/>
      <c r="T102" s="13"/>
      <c r="U102" s="67"/>
      <c r="V102" s="238"/>
      <c r="W102" s="230"/>
      <c r="X102" s="13"/>
      <c r="Y102" s="67"/>
      <c r="Z102" s="238"/>
      <c r="AA102" s="230"/>
      <c r="AB102" s="13"/>
      <c r="AC102" s="67"/>
      <c r="AD102" s="238"/>
      <c r="AE102" s="230"/>
    </row>
    <row r="103" spans="1:31" ht="12">
      <c r="A103" s="69" t="s">
        <v>224</v>
      </c>
      <c r="D103" s="10" t="s">
        <v>12</v>
      </c>
      <c r="H103" s="18">
        <f>1567+2049+4057+4057+10260+12172</f>
        <v>34162</v>
      </c>
      <c r="I103" s="14">
        <f>6617+2229+3065+7877+6070</f>
        <v>25858</v>
      </c>
      <c r="J103" s="14"/>
      <c r="K103" s="14">
        <f>H103+I103+J103</f>
        <v>60020</v>
      </c>
      <c r="L103" s="23" t="s">
        <v>114</v>
      </c>
      <c r="M103" s="70">
        <v>14385</v>
      </c>
      <c r="N103" s="314">
        <f>O103/M103</f>
        <v>4.172401807438304</v>
      </c>
      <c r="O103" s="55">
        <f>K103</f>
        <v>60020</v>
      </c>
      <c r="P103" s="23" t="s">
        <v>114</v>
      </c>
      <c r="Q103" s="70">
        <v>14385</v>
      </c>
      <c r="R103" s="314">
        <f>S103/Q103</f>
        <v>4.172401807438304</v>
      </c>
      <c r="S103" s="55">
        <f>O103</f>
        <v>60020</v>
      </c>
      <c r="T103" s="23" t="s">
        <v>114</v>
      </c>
      <c r="U103" s="198">
        <v>14385</v>
      </c>
      <c r="V103" s="314">
        <f>W103/U103</f>
        <v>4.172401807438304</v>
      </c>
      <c r="W103" s="231">
        <f>S103</f>
        <v>60020</v>
      </c>
      <c r="X103" s="23" t="s">
        <v>114</v>
      </c>
      <c r="Y103" s="198">
        <v>14385</v>
      </c>
      <c r="Z103" s="314">
        <f>AA103/Y103</f>
        <v>4.172401807438304</v>
      </c>
      <c r="AA103" s="231">
        <f>W103</f>
        <v>60020</v>
      </c>
      <c r="AB103" s="23" t="s">
        <v>114</v>
      </c>
      <c r="AC103" s="198">
        <v>14385</v>
      </c>
      <c r="AD103" s="314">
        <f>AE103/AC103</f>
        <v>4.172401807438304</v>
      </c>
      <c r="AE103" s="231">
        <f>AA103</f>
        <v>60020</v>
      </c>
    </row>
    <row r="104" spans="1:31" ht="12">
      <c r="A104" s="69" t="s">
        <v>225</v>
      </c>
      <c r="D104" s="10" t="s">
        <v>13</v>
      </c>
      <c r="H104" s="18">
        <f>522+201+16028</f>
        <v>16751</v>
      </c>
      <c r="I104" s="14">
        <f>272+94523</f>
        <v>94795</v>
      </c>
      <c r="J104" s="14"/>
      <c r="K104" s="14">
        <f>H104+I104+J104</f>
        <v>111546</v>
      </c>
      <c r="L104" s="23" t="s">
        <v>114</v>
      </c>
      <c r="M104" s="70">
        <v>14385</v>
      </c>
      <c r="N104" s="314">
        <f>O104/M104</f>
        <v>7.754327424400417</v>
      </c>
      <c r="O104" s="55">
        <f>K104</f>
        <v>111546</v>
      </c>
      <c r="P104" s="23" t="s">
        <v>114</v>
      </c>
      <c r="Q104" s="70">
        <v>14385</v>
      </c>
      <c r="R104" s="314">
        <f>S104/Q104</f>
        <v>7.754327424400417</v>
      </c>
      <c r="S104" s="55">
        <f>O104</f>
        <v>111546</v>
      </c>
      <c r="T104" s="23" t="s">
        <v>114</v>
      </c>
      <c r="U104" s="198">
        <v>14385</v>
      </c>
      <c r="V104" s="314">
        <f>W104/U104</f>
        <v>7.754327424400417</v>
      </c>
      <c r="W104" s="231">
        <f>S104</f>
        <v>111546</v>
      </c>
      <c r="X104" s="23" t="s">
        <v>114</v>
      </c>
      <c r="Y104" s="198">
        <v>14385</v>
      </c>
      <c r="Z104" s="314">
        <f>AA104/Y104</f>
        <v>7.754327424400417</v>
      </c>
      <c r="AA104" s="231">
        <f>W104</f>
        <v>111546</v>
      </c>
      <c r="AB104" s="23" t="s">
        <v>114</v>
      </c>
      <c r="AC104" s="198">
        <v>14385</v>
      </c>
      <c r="AD104" s="314">
        <f>AE104/AC104</f>
        <v>7.754327424400417</v>
      </c>
      <c r="AE104" s="231">
        <f>AA104</f>
        <v>111546</v>
      </c>
    </row>
    <row r="105" spans="1:31" ht="12">
      <c r="A105" s="69" t="s">
        <v>226</v>
      </c>
      <c r="D105" s="10" t="s">
        <v>14</v>
      </c>
      <c r="H105" s="18"/>
      <c r="I105" s="14"/>
      <c r="J105" s="14">
        <f>14028+47324+135+4302+5610+3450+112700+18755</f>
        <v>206304</v>
      </c>
      <c r="K105" s="14">
        <f>H105+I105+J105</f>
        <v>206304</v>
      </c>
      <c r="L105" s="23" t="s">
        <v>114</v>
      </c>
      <c r="M105" s="70">
        <v>14385</v>
      </c>
      <c r="N105" s="314">
        <f>O105/M105</f>
        <v>14.341605839416058</v>
      </c>
      <c r="O105" s="55">
        <f>K105</f>
        <v>206304</v>
      </c>
      <c r="P105" s="23" t="s">
        <v>114</v>
      </c>
      <c r="Q105" s="70">
        <v>14385</v>
      </c>
      <c r="R105" s="314">
        <f>S105/Q105</f>
        <v>14.341605839416058</v>
      </c>
      <c r="S105" s="55">
        <f>O105</f>
        <v>206304</v>
      </c>
      <c r="T105" s="23" t="s">
        <v>114</v>
      </c>
      <c r="U105" s="198">
        <v>14385</v>
      </c>
      <c r="V105" s="314">
        <f>W105/U105</f>
        <v>14.341605839416058</v>
      </c>
      <c r="W105" s="231">
        <f>S105</f>
        <v>206304</v>
      </c>
      <c r="X105" s="23" t="s">
        <v>114</v>
      </c>
      <c r="Y105" s="198">
        <v>14385</v>
      </c>
      <c r="Z105" s="314">
        <f>AA105/Y105</f>
        <v>14.341605839416058</v>
      </c>
      <c r="AA105" s="231">
        <f>W105</f>
        <v>206304</v>
      </c>
      <c r="AB105" s="23" t="s">
        <v>114</v>
      </c>
      <c r="AC105" s="198">
        <v>14385</v>
      </c>
      <c r="AD105" s="314">
        <f>AE105/AC105</f>
        <v>14.341605839416058</v>
      </c>
      <c r="AE105" s="231">
        <f>AA105</f>
        <v>206304</v>
      </c>
    </row>
    <row r="106" spans="1:31" ht="12">
      <c r="A106" s="69" t="s">
        <v>227</v>
      </c>
      <c r="D106" s="10" t="s">
        <v>15</v>
      </c>
      <c r="H106" s="18"/>
      <c r="I106" s="14"/>
      <c r="J106" s="14"/>
      <c r="K106" s="14"/>
      <c r="L106" s="23"/>
      <c r="M106" s="70"/>
      <c r="N106" s="314"/>
      <c r="O106" s="55"/>
      <c r="P106" s="23"/>
      <c r="Q106" s="70"/>
      <c r="R106" s="314"/>
      <c r="S106" s="55"/>
      <c r="T106" s="23"/>
      <c r="U106" s="198"/>
      <c r="V106" s="314"/>
      <c r="W106" s="231"/>
      <c r="X106" s="23"/>
      <c r="Y106" s="198"/>
      <c r="Z106" s="314"/>
      <c r="AA106" s="231"/>
      <c r="AB106" s="23"/>
      <c r="AC106" s="198"/>
      <c r="AD106" s="314"/>
      <c r="AE106" s="231"/>
    </row>
    <row r="107" spans="1:31" ht="12">
      <c r="A107" s="69"/>
      <c r="C107" s="10" t="s">
        <v>17</v>
      </c>
      <c r="H107" s="18">
        <f>SUM(H96:H106)</f>
        <v>50913</v>
      </c>
      <c r="I107" s="37">
        <f>SUM(I96:I106)</f>
        <v>120653</v>
      </c>
      <c r="J107" s="37">
        <f>SUM(J96:J106)</f>
        <v>206304</v>
      </c>
      <c r="K107" s="37">
        <f>SUM(K96:K106)</f>
        <v>377870</v>
      </c>
      <c r="L107" s="23" t="s">
        <v>114</v>
      </c>
      <c r="M107" s="70">
        <f>M103</f>
        <v>14385</v>
      </c>
      <c r="N107" s="314">
        <f>O107/M107</f>
        <v>26.26833507125478</v>
      </c>
      <c r="O107" s="55">
        <f>K107</f>
        <v>377870</v>
      </c>
      <c r="P107" s="23" t="s">
        <v>114</v>
      </c>
      <c r="Q107" s="70">
        <f>Q103</f>
        <v>14385</v>
      </c>
      <c r="R107" s="314">
        <f>S107/Q107</f>
        <v>26.26833507125478</v>
      </c>
      <c r="S107" s="55">
        <f>O107</f>
        <v>377870</v>
      </c>
      <c r="T107" s="23" t="s">
        <v>114</v>
      </c>
      <c r="U107" s="198">
        <f>U103</f>
        <v>14385</v>
      </c>
      <c r="V107" s="314">
        <f>W107/U107</f>
        <v>26.26833507125478</v>
      </c>
      <c r="W107" s="231">
        <f>S107</f>
        <v>377870</v>
      </c>
      <c r="X107" s="23" t="s">
        <v>114</v>
      </c>
      <c r="Y107" s="198">
        <f>Y103</f>
        <v>14385</v>
      </c>
      <c r="Z107" s="314">
        <f>AA107/Y107</f>
        <v>26.26833507125478</v>
      </c>
      <c r="AA107" s="231">
        <f>W107</f>
        <v>377870</v>
      </c>
      <c r="AB107" s="23" t="s">
        <v>114</v>
      </c>
      <c r="AC107" s="198">
        <f>AC103</f>
        <v>14385</v>
      </c>
      <c r="AD107" s="314">
        <f>AE107/AC107</f>
        <v>26.26833507125478</v>
      </c>
      <c r="AE107" s="231">
        <f>AA107</f>
        <v>377870</v>
      </c>
    </row>
    <row r="108" spans="1:31" ht="12">
      <c r="A108" s="69"/>
      <c r="C108" s="10" t="s">
        <v>11</v>
      </c>
      <c r="H108" s="18"/>
      <c r="I108" s="14"/>
      <c r="J108" s="14"/>
      <c r="K108" s="14"/>
      <c r="L108" s="23"/>
      <c r="M108" s="70"/>
      <c r="N108" s="314"/>
      <c r="O108" s="55"/>
      <c r="P108" s="23"/>
      <c r="Q108" s="70"/>
      <c r="R108" s="314"/>
      <c r="S108" s="55"/>
      <c r="T108" s="23"/>
      <c r="U108" s="198"/>
      <c r="V108" s="314"/>
      <c r="W108" s="231"/>
      <c r="X108" s="23"/>
      <c r="Y108" s="198"/>
      <c r="Z108" s="314"/>
      <c r="AA108" s="231"/>
      <c r="AB108" s="23"/>
      <c r="AC108" s="198"/>
      <c r="AD108" s="314"/>
      <c r="AE108" s="231"/>
    </row>
    <row r="109" spans="1:31" ht="12">
      <c r="A109" s="69" t="s">
        <v>228</v>
      </c>
      <c r="D109" s="10" t="s">
        <v>18</v>
      </c>
      <c r="H109" s="18"/>
      <c r="I109" s="14"/>
      <c r="J109" s="14"/>
      <c r="K109" s="14"/>
      <c r="L109" s="23"/>
      <c r="M109" s="70"/>
      <c r="N109" s="314"/>
      <c r="O109" s="55"/>
      <c r="P109" s="23"/>
      <c r="Q109" s="70"/>
      <c r="R109" s="314"/>
      <c r="S109" s="55"/>
      <c r="T109" s="23"/>
      <c r="U109" s="198"/>
      <c r="V109" s="314"/>
      <c r="W109" s="231"/>
      <c r="X109" s="23"/>
      <c r="Y109" s="198"/>
      <c r="Z109" s="314"/>
      <c r="AA109" s="231"/>
      <c r="AB109" s="23"/>
      <c r="AC109" s="198"/>
      <c r="AD109" s="314"/>
      <c r="AE109" s="231"/>
    </row>
    <row r="110" spans="1:31" ht="12">
      <c r="A110" s="69" t="s">
        <v>229</v>
      </c>
      <c r="D110" s="10" t="s">
        <v>19</v>
      </c>
      <c r="H110" s="18"/>
      <c r="I110" s="14"/>
      <c r="J110" s="14"/>
      <c r="K110" s="14"/>
      <c r="L110" s="23"/>
      <c r="M110" s="70"/>
      <c r="N110" s="314"/>
      <c r="O110" s="97"/>
      <c r="P110" s="23"/>
      <c r="Q110" s="70"/>
      <c r="R110" s="314"/>
      <c r="S110" s="97"/>
      <c r="T110" s="23"/>
      <c r="U110" s="198"/>
      <c r="V110" s="314"/>
      <c r="W110" s="240"/>
      <c r="X110" s="23"/>
      <c r="Y110" s="198"/>
      <c r="Z110" s="314"/>
      <c r="AA110" s="240"/>
      <c r="AB110" s="23"/>
      <c r="AC110" s="198"/>
      <c r="AD110" s="314"/>
      <c r="AE110" s="240"/>
    </row>
    <row r="111" spans="1:31" ht="12">
      <c r="A111" s="69"/>
      <c r="C111" s="10" t="s">
        <v>16</v>
      </c>
      <c r="H111" s="18"/>
      <c r="I111" s="14"/>
      <c r="J111" s="14"/>
      <c r="K111" s="14"/>
      <c r="L111" s="23"/>
      <c r="M111" s="70"/>
      <c r="N111" s="314"/>
      <c r="O111" s="55"/>
      <c r="P111" s="23"/>
      <c r="Q111" s="70"/>
      <c r="R111" s="314"/>
      <c r="S111" s="55"/>
      <c r="T111" s="23"/>
      <c r="U111" s="198"/>
      <c r="V111" s="314"/>
      <c r="W111" s="231"/>
      <c r="X111" s="23"/>
      <c r="Y111" s="198"/>
      <c r="Z111" s="314"/>
      <c r="AA111" s="231"/>
      <c r="AB111" s="23"/>
      <c r="AC111" s="198"/>
      <c r="AD111" s="314"/>
      <c r="AE111" s="231"/>
    </row>
    <row r="112" spans="1:31" ht="12">
      <c r="A112" s="69" t="s">
        <v>230</v>
      </c>
      <c r="D112" s="10" t="s">
        <v>18</v>
      </c>
      <c r="H112" s="18"/>
      <c r="I112" s="14"/>
      <c r="J112" s="14"/>
      <c r="K112" s="14"/>
      <c r="L112" s="23"/>
      <c r="M112" s="70"/>
      <c r="N112" s="314"/>
      <c r="O112" s="55"/>
      <c r="P112" s="23"/>
      <c r="Q112" s="70"/>
      <c r="R112" s="314"/>
      <c r="S112" s="55"/>
      <c r="T112" s="23"/>
      <c r="U112" s="198"/>
      <c r="V112" s="314"/>
      <c r="W112" s="231"/>
      <c r="X112" s="23"/>
      <c r="Y112" s="198"/>
      <c r="Z112" s="314"/>
      <c r="AA112" s="231"/>
      <c r="AB112" s="23"/>
      <c r="AC112" s="198"/>
      <c r="AD112" s="314"/>
      <c r="AE112" s="231"/>
    </row>
    <row r="113" spans="1:31" ht="12">
      <c r="A113" s="69" t="s">
        <v>231</v>
      </c>
      <c r="D113" s="10" t="s">
        <v>20</v>
      </c>
      <c r="H113" s="72"/>
      <c r="I113" s="14"/>
      <c r="J113" s="14"/>
      <c r="K113" s="14"/>
      <c r="L113" s="23"/>
      <c r="M113" s="70"/>
      <c r="N113" s="314"/>
      <c r="O113" s="55"/>
      <c r="P113" s="23"/>
      <c r="Q113" s="70"/>
      <c r="R113" s="314"/>
      <c r="S113" s="55"/>
      <c r="T113" s="23"/>
      <c r="U113" s="198"/>
      <c r="V113" s="314"/>
      <c r="W113" s="231"/>
      <c r="X113" s="23"/>
      <c r="Y113" s="198"/>
      <c r="Z113" s="314"/>
      <c r="AA113" s="231"/>
      <c r="AB113" s="23"/>
      <c r="AC113" s="198"/>
      <c r="AD113" s="314"/>
      <c r="AE113" s="231"/>
    </row>
    <row r="114" spans="1:31" ht="12">
      <c r="A114" s="69"/>
      <c r="C114" s="10" t="s">
        <v>21</v>
      </c>
      <c r="H114" s="18">
        <f>SUM(H108:H113)</f>
        <v>0</v>
      </c>
      <c r="I114" s="37">
        <f>SUM(I108:I113)</f>
        <v>0</v>
      </c>
      <c r="J114" s="37">
        <f>SUM(J108:J113)</f>
        <v>0</v>
      </c>
      <c r="K114" s="37">
        <f>SUM(K108:K113)</f>
        <v>0</v>
      </c>
      <c r="L114" s="23"/>
      <c r="M114" s="70"/>
      <c r="N114" s="314"/>
      <c r="O114" s="55"/>
      <c r="P114" s="23"/>
      <c r="Q114" s="70"/>
      <c r="R114" s="314"/>
      <c r="S114" s="55"/>
      <c r="T114" s="23"/>
      <c r="U114" s="198"/>
      <c r="V114" s="314"/>
      <c r="W114" s="231"/>
      <c r="X114" s="23"/>
      <c r="Y114" s="198"/>
      <c r="Z114" s="314"/>
      <c r="AA114" s="231"/>
      <c r="AB114" s="23"/>
      <c r="AC114" s="198"/>
      <c r="AD114" s="314"/>
      <c r="AE114" s="231"/>
    </row>
    <row r="115" spans="1:31" ht="12">
      <c r="A115" s="69"/>
      <c r="B115" s="10" t="s">
        <v>238</v>
      </c>
      <c r="H115" s="18">
        <f>H107+H114</f>
        <v>50913</v>
      </c>
      <c r="I115" s="37">
        <f>I107+I114</f>
        <v>120653</v>
      </c>
      <c r="J115" s="37">
        <f>J107+J114</f>
        <v>206304</v>
      </c>
      <c r="K115" s="26">
        <f>K107+K114</f>
        <v>377870</v>
      </c>
      <c r="L115" s="23" t="s">
        <v>114</v>
      </c>
      <c r="M115" s="70">
        <f>M107</f>
        <v>14385</v>
      </c>
      <c r="N115" s="314">
        <f>O115/M115</f>
        <v>26.26833507125478</v>
      </c>
      <c r="O115" s="55">
        <f>K115</f>
        <v>377870</v>
      </c>
      <c r="P115" s="23" t="s">
        <v>114</v>
      </c>
      <c r="Q115" s="70">
        <f>Q107</f>
        <v>14385</v>
      </c>
      <c r="R115" s="314">
        <f>S115/Q115</f>
        <v>26.26833507125478</v>
      </c>
      <c r="S115" s="55">
        <f>O115</f>
        <v>377870</v>
      </c>
      <c r="T115" s="23" t="s">
        <v>114</v>
      </c>
      <c r="U115" s="198">
        <f>U107</f>
        <v>14385</v>
      </c>
      <c r="V115" s="314">
        <f>W115/U115</f>
        <v>26.26833507125478</v>
      </c>
      <c r="W115" s="231">
        <f>S115</f>
        <v>377870</v>
      </c>
      <c r="X115" s="23" t="s">
        <v>114</v>
      </c>
      <c r="Y115" s="198">
        <f>Y107</f>
        <v>14385</v>
      </c>
      <c r="Z115" s="314">
        <f>AA115/Y115</f>
        <v>26.26833507125478</v>
      </c>
      <c r="AA115" s="231">
        <f>W115</f>
        <v>377870</v>
      </c>
      <c r="AB115" s="23" t="s">
        <v>114</v>
      </c>
      <c r="AC115" s="198">
        <f>AC107</f>
        <v>14385</v>
      </c>
      <c r="AD115" s="314">
        <f>AE115/AC115</f>
        <v>26.26833507125478</v>
      </c>
      <c r="AE115" s="231">
        <f>AA115</f>
        <v>377870</v>
      </c>
    </row>
    <row r="116" spans="1:31" ht="12">
      <c r="A116" s="69"/>
      <c r="H116" s="18"/>
      <c r="I116" s="37"/>
      <c r="J116" s="37"/>
      <c r="K116" s="26"/>
      <c r="L116" s="23"/>
      <c r="M116" s="70"/>
      <c r="N116" s="314"/>
      <c r="O116" s="55"/>
      <c r="P116" s="23"/>
      <c r="Q116" s="70"/>
      <c r="R116" s="314"/>
      <c r="S116" s="55"/>
      <c r="T116" s="13"/>
      <c r="U116" s="67"/>
      <c r="V116" s="238"/>
      <c r="W116" s="230"/>
      <c r="X116" s="13"/>
      <c r="Y116" s="67"/>
      <c r="Z116" s="238"/>
      <c r="AA116" s="230"/>
      <c r="AB116" s="13"/>
      <c r="AC116" s="67"/>
      <c r="AD116" s="238"/>
      <c r="AE116" s="230"/>
    </row>
    <row r="117" spans="1:31" ht="12">
      <c r="A117" s="69" t="s">
        <v>39</v>
      </c>
      <c r="B117" s="10" t="s">
        <v>47</v>
      </c>
      <c r="H117" s="18"/>
      <c r="I117" s="14"/>
      <c r="J117" s="14"/>
      <c r="K117" s="14"/>
      <c r="L117" s="23"/>
      <c r="M117" s="21"/>
      <c r="N117" s="314"/>
      <c r="O117" s="71"/>
      <c r="P117" s="23"/>
      <c r="Q117" s="21"/>
      <c r="R117" s="314"/>
      <c r="S117" s="71"/>
      <c r="T117" s="13"/>
      <c r="U117" s="67"/>
      <c r="V117" s="238"/>
      <c r="W117" s="230"/>
      <c r="X117" s="13"/>
      <c r="Y117" s="67"/>
      <c r="Z117" s="238"/>
      <c r="AA117" s="230"/>
      <c r="AB117" s="13"/>
      <c r="AC117" s="67"/>
      <c r="AD117" s="238"/>
      <c r="AE117" s="230"/>
    </row>
    <row r="118" spans="1:31" ht="12">
      <c r="A118" s="200" t="s">
        <v>233</v>
      </c>
      <c r="C118" s="10" t="s">
        <v>48</v>
      </c>
      <c r="H118" s="18"/>
      <c r="I118" s="14"/>
      <c r="J118" s="14"/>
      <c r="K118" s="14"/>
      <c r="L118" s="23"/>
      <c r="M118" s="21"/>
      <c r="N118" s="314"/>
      <c r="O118" s="55"/>
      <c r="P118" s="23"/>
      <c r="Q118" s="21"/>
      <c r="R118" s="314"/>
      <c r="S118" s="55"/>
      <c r="T118" s="13"/>
      <c r="U118" s="67"/>
      <c r="V118" s="238"/>
      <c r="W118" s="230"/>
      <c r="X118" s="13"/>
      <c r="Y118" s="67"/>
      <c r="Z118" s="238"/>
      <c r="AA118" s="230"/>
      <c r="AB118" s="13"/>
      <c r="AC118" s="67"/>
      <c r="AD118" s="238"/>
      <c r="AE118" s="230"/>
    </row>
    <row r="119" spans="1:31" ht="12">
      <c r="A119" s="200" t="s">
        <v>234</v>
      </c>
      <c r="C119" s="10" t="s">
        <v>49</v>
      </c>
      <c r="H119" s="18"/>
      <c r="I119" s="14"/>
      <c r="J119" s="14"/>
      <c r="K119" s="14"/>
      <c r="L119" s="23"/>
      <c r="M119" s="70"/>
      <c r="N119" s="314"/>
      <c r="O119" s="55"/>
      <c r="P119" s="23"/>
      <c r="Q119" s="70"/>
      <c r="R119" s="314"/>
      <c r="S119" s="55"/>
      <c r="T119" s="13"/>
      <c r="U119" s="67"/>
      <c r="V119" s="238"/>
      <c r="W119" s="230"/>
      <c r="X119" s="13"/>
      <c r="Y119" s="67"/>
      <c r="Z119" s="238"/>
      <c r="AA119" s="230"/>
      <c r="AB119" s="13"/>
      <c r="AC119" s="67"/>
      <c r="AD119" s="238"/>
      <c r="AE119" s="230"/>
    </row>
    <row r="120" spans="1:31" ht="12.75" thickBot="1">
      <c r="A120" s="88" t="s">
        <v>232</v>
      </c>
      <c r="B120" s="89" t="s">
        <v>40</v>
      </c>
      <c r="C120" s="89"/>
      <c r="D120" s="89"/>
      <c r="E120" s="89"/>
      <c r="F120" s="89"/>
      <c r="G120" s="89"/>
      <c r="H120" s="73"/>
      <c r="I120" s="74"/>
      <c r="J120" s="74"/>
      <c r="K120" s="74"/>
      <c r="L120" s="76"/>
      <c r="M120" s="90"/>
      <c r="N120" s="315"/>
      <c r="O120" s="56"/>
      <c r="P120" s="76"/>
      <c r="Q120" s="90"/>
      <c r="R120" s="315"/>
      <c r="S120" s="56"/>
      <c r="T120" s="13"/>
      <c r="U120" s="67"/>
      <c r="V120" s="238"/>
      <c r="W120" s="230"/>
      <c r="X120" s="13"/>
      <c r="Y120" s="67"/>
      <c r="Z120" s="238"/>
      <c r="AA120" s="230"/>
      <c r="AB120" s="13"/>
      <c r="AC120" s="67"/>
      <c r="AD120" s="238"/>
      <c r="AE120" s="230"/>
    </row>
    <row r="121" spans="1:31" ht="12.75" thickTop="1">
      <c r="A121" s="91"/>
      <c r="B121" s="80" t="s">
        <v>50</v>
      </c>
      <c r="C121" s="80"/>
      <c r="D121" s="80"/>
      <c r="E121" s="80"/>
      <c r="F121" s="92"/>
      <c r="G121" s="92"/>
      <c r="H121" s="93">
        <f>+H94+H73+H52</f>
        <v>537836</v>
      </c>
      <c r="I121" s="82">
        <f>+I94+I73+I52</f>
        <v>2280299</v>
      </c>
      <c r="J121" s="82">
        <f>+J94+J73+J52</f>
        <v>143895</v>
      </c>
      <c r="K121" s="82">
        <f>+K94+K73+K52+K115+K118+K119+K120</f>
        <v>3339900</v>
      </c>
      <c r="L121" s="83" t="s">
        <v>10</v>
      </c>
      <c r="M121" s="94">
        <f>M94+M73+M52</f>
        <v>1271</v>
      </c>
      <c r="N121" s="201">
        <f>O121/M121</f>
        <v>2627.773406766326</v>
      </c>
      <c r="O121" s="57">
        <f>+O94+O73+O52+O115+O118+O119+O120</f>
        <v>3339900</v>
      </c>
      <c r="P121" s="83" t="s">
        <v>10</v>
      </c>
      <c r="Q121" s="94">
        <f>Q94+Q73+Q52</f>
        <v>1271</v>
      </c>
      <c r="R121" s="201">
        <f>S121/Q121</f>
        <v>2627.773406766326</v>
      </c>
      <c r="S121" s="57">
        <f>+S94+S73+S52+S115+S118+S119+S120</f>
        <v>3339900</v>
      </c>
      <c r="T121" s="241" t="s">
        <v>10</v>
      </c>
      <c r="U121" s="249">
        <f>U94+U73+U52</f>
        <v>1271</v>
      </c>
      <c r="V121" s="250">
        <f>W121/U121</f>
        <v>4270.859952793076</v>
      </c>
      <c r="W121" s="251">
        <f>+W94+W73+W52+W115+W118+W119+W120</f>
        <v>5428263</v>
      </c>
      <c r="X121" s="241" t="s">
        <v>10</v>
      </c>
      <c r="Y121" s="249">
        <f>Y94+Y73+Y52</f>
        <v>1271</v>
      </c>
      <c r="Z121" s="250">
        <f>AA121/Y121</f>
        <v>4270.859952793076</v>
      </c>
      <c r="AA121" s="251">
        <f>+AA94+AA73+AA52+AA115+AA118+AA119+AA120</f>
        <v>5428263</v>
      </c>
      <c r="AB121" s="241" t="s">
        <v>10</v>
      </c>
      <c r="AC121" s="249">
        <f>AC94+AC73+AC52</f>
        <v>1271</v>
      </c>
      <c r="AD121" s="250">
        <f>AE121/AC121</f>
        <v>4270.859952793076</v>
      </c>
      <c r="AE121" s="251">
        <f>+AE94+AE73+AE52+AE115+AE118+AE119+AE120</f>
        <v>5428263</v>
      </c>
    </row>
    <row r="122" spans="1:31" ht="12">
      <c r="A122" s="69"/>
      <c r="H122" s="18"/>
      <c r="I122" s="14"/>
      <c r="J122" s="14"/>
      <c r="K122" s="14"/>
      <c r="L122" s="98"/>
      <c r="M122" s="99"/>
      <c r="N122" s="321"/>
      <c r="O122" s="100"/>
      <c r="P122" s="98"/>
      <c r="Q122" s="99"/>
      <c r="R122" s="321"/>
      <c r="S122" s="100"/>
      <c r="T122" s="13"/>
      <c r="U122" s="67"/>
      <c r="V122" s="238"/>
      <c r="W122" s="230"/>
      <c r="X122" s="13"/>
      <c r="Y122" s="67"/>
      <c r="Z122" s="238"/>
      <c r="AA122" s="230"/>
      <c r="AB122" s="13"/>
      <c r="AC122" s="67"/>
      <c r="AD122" s="238"/>
      <c r="AE122" s="230"/>
    </row>
    <row r="123" spans="1:31" ht="12">
      <c r="A123" s="69">
        <v>3</v>
      </c>
      <c r="B123" s="12" t="s">
        <v>54</v>
      </c>
      <c r="C123" s="12"/>
      <c r="D123" s="12"/>
      <c r="E123" s="12"/>
      <c r="F123" s="12"/>
      <c r="H123" s="18"/>
      <c r="I123" s="14"/>
      <c r="J123" s="14"/>
      <c r="K123" s="14"/>
      <c r="L123" s="23"/>
      <c r="M123" s="21"/>
      <c r="N123" s="314"/>
      <c r="O123" s="71"/>
      <c r="P123" s="23"/>
      <c r="Q123" s="21"/>
      <c r="R123" s="314"/>
      <c r="S123" s="71"/>
      <c r="T123" s="13"/>
      <c r="U123" s="67"/>
      <c r="V123" s="238"/>
      <c r="W123" s="230"/>
      <c r="X123" s="13"/>
      <c r="Y123" s="67"/>
      <c r="Z123" s="238"/>
      <c r="AA123" s="230"/>
      <c r="AB123" s="13"/>
      <c r="AC123" s="67"/>
      <c r="AD123" s="238"/>
      <c r="AE123" s="230"/>
    </row>
    <row r="124" spans="1:31" ht="12">
      <c r="A124" s="69" t="s">
        <v>43</v>
      </c>
      <c r="B124" s="10" t="s">
        <v>55</v>
      </c>
      <c r="H124" s="18"/>
      <c r="I124" s="14"/>
      <c r="J124" s="14"/>
      <c r="K124" s="14"/>
      <c r="L124" s="23"/>
      <c r="M124" s="70"/>
      <c r="N124" s="314"/>
      <c r="O124" s="55"/>
      <c r="P124" s="23"/>
      <c r="Q124" s="70"/>
      <c r="R124" s="314"/>
      <c r="S124" s="55"/>
      <c r="T124" s="13"/>
      <c r="U124" s="67"/>
      <c r="V124" s="238"/>
      <c r="W124" s="230"/>
      <c r="X124" s="13"/>
      <c r="Y124" s="67"/>
      <c r="Z124" s="238"/>
      <c r="AA124" s="230"/>
      <c r="AB124" s="13"/>
      <c r="AC124" s="67"/>
      <c r="AD124" s="238"/>
      <c r="AE124" s="230"/>
    </row>
    <row r="125" spans="1:31" ht="12">
      <c r="A125" s="69"/>
      <c r="H125" s="18"/>
      <c r="I125" s="14"/>
      <c r="J125" s="14"/>
      <c r="K125" s="14"/>
      <c r="L125" s="23"/>
      <c r="M125" s="70"/>
      <c r="N125" s="314"/>
      <c r="O125" s="55"/>
      <c r="P125" s="23"/>
      <c r="Q125" s="70"/>
      <c r="R125" s="314"/>
      <c r="S125" s="55"/>
      <c r="T125" s="13"/>
      <c r="U125" s="67"/>
      <c r="V125" s="238"/>
      <c r="W125" s="230"/>
      <c r="X125" s="13"/>
      <c r="Y125" s="67"/>
      <c r="Z125" s="238"/>
      <c r="AA125" s="230"/>
      <c r="AB125" s="13"/>
      <c r="AC125" s="67"/>
      <c r="AD125" s="238"/>
      <c r="AE125" s="230"/>
    </row>
    <row r="126" spans="1:31" ht="12">
      <c r="A126" s="69" t="s">
        <v>44</v>
      </c>
      <c r="B126" s="10" t="s">
        <v>56</v>
      </c>
      <c r="H126" s="18"/>
      <c r="I126" s="14"/>
      <c r="J126" s="14"/>
      <c r="K126" s="14"/>
      <c r="L126" s="23"/>
      <c r="M126" s="70"/>
      <c r="N126" s="314"/>
      <c r="O126" s="55"/>
      <c r="P126" s="23"/>
      <c r="Q126" s="70"/>
      <c r="R126" s="314"/>
      <c r="S126" s="55"/>
      <c r="T126" s="13"/>
      <c r="U126" s="67"/>
      <c r="V126" s="238"/>
      <c r="W126" s="230"/>
      <c r="X126" s="13"/>
      <c r="Y126" s="67"/>
      <c r="Z126" s="238"/>
      <c r="AA126" s="230"/>
      <c r="AB126" s="13"/>
      <c r="AC126" s="67"/>
      <c r="AD126" s="238"/>
      <c r="AE126" s="230"/>
    </row>
    <row r="127" spans="1:31" ht="12.75" thickBot="1">
      <c r="A127" s="69"/>
      <c r="H127" s="18"/>
      <c r="I127" s="14"/>
      <c r="J127" s="14"/>
      <c r="K127" s="14"/>
      <c r="L127" s="98"/>
      <c r="M127" s="99"/>
      <c r="N127" s="321"/>
      <c r="O127" s="100"/>
      <c r="P127" s="98"/>
      <c r="Q127" s="99"/>
      <c r="R127" s="321"/>
      <c r="S127" s="100"/>
      <c r="T127" s="13"/>
      <c r="U127" s="67"/>
      <c r="V127" s="238"/>
      <c r="W127" s="230"/>
      <c r="X127" s="13"/>
      <c r="Y127" s="67"/>
      <c r="Z127" s="238"/>
      <c r="AA127" s="230"/>
      <c r="AB127" s="13"/>
      <c r="AC127" s="67"/>
      <c r="AD127" s="238"/>
      <c r="AE127" s="230"/>
    </row>
    <row r="128" spans="1:31" ht="12.75" thickTop="1">
      <c r="A128" s="79"/>
      <c r="B128" s="80" t="s">
        <v>57</v>
      </c>
      <c r="C128" s="80"/>
      <c r="D128" s="80"/>
      <c r="E128" s="80"/>
      <c r="F128" s="80"/>
      <c r="G128" s="80"/>
      <c r="H128" s="93">
        <f>SUM(H123:H127)</f>
        <v>0</v>
      </c>
      <c r="I128" s="102">
        <f>SUM(I123:I127)</f>
        <v>0</v>
      </c>
      <c r="J128" s="102">
        <f>SUM(J123:J127)</f>
        <v>0</v>
      </c>
      <c r="K128" s="102">
        <f>SUM(K123:K127)</f>
        <v>0</v>
      </c>
      <c r="L128" s="103"/>
      <c r="M128" s="202">
        <f>SUM(M123:M127)</f>
        <v>0</v>
      </c>
      <c r="N128" s="250"/>
      <c r="O128" s="102">
        <f>SUM(O123:O127)</f>
        <v>0</v>
      </c>
      <c r="P128" s="103"/>
      <c r="Q128" s="202"/>
      <c r="R128" s="250"/>
      <c r="S128" s="102">
        <f>SUM(S123:S127)</f>
        <v>0</v>
      </c>
      <c r="T128" s="241"/>
      <c r="U128" s="172"/>
      <c r="V128" s="316"/>
      <c r="W128" s="242">
        <f>SUM(W123:W127)</f>
        <v>0</v>
      </c>
      <c r="X128" s="241"/>
      <c r="Y128" s="172"/>
      <c r="Z128" s="316"/>
      <c r="AA128" s="242">
        <f>SUM(AA123:AA127)</f>
        <v>0</v>
      </c>
      <c r="AB128" s="241"/>
      <c r="AC128" s="172"/>
      <c r="AD128" s="316"/>
      <c r="AE128" s="242">
        <f>SUM(AE123:AE127)</f>
        <v>0</v>
      </c>
    </row>
    <row r="129" spans="1:31" ht="12">
      <c r="A129" s="69"/>
      <c r="H129" s="18"/>
      <c r="I129" s="14"/>
      <c r="J129" s="14"/>
      <c r="K129" s="14"/>
      <c r="L129" s="23"/>
      <c r="M129" s="21"/>
      <c r="N129" s="314"/>
      <c r="O129" s="55"/>
      <c r="P129" s="23"/>
      <c r="Q129" s="21"/>
      <c r="R129" s="314"/>
      <c r="S129" s="55"/>
      <c r="T129" s="13"/>
      <c r="U129" s="67"/>
      <c r="V129" s="238"/>
      <c r="W129" s="230"/>
      <c r="X129" s="13"/>
      <c r="Y129" s="67"/>
      <c r="Z129" s="238"/>
      <c r="AA129" s="230"/>
      <c r="AB129" s="13"/>
      <c r="AC129" s="67"/>
      <c r="AD129" s="238"/>
      <c r="AE129" s="230"/>
    </row>
    <row r="130" spans="1:31" ht="12">
      <c r="A130" s="69">
        <v>4</v>
      </c>
      <c r="B130" s="8" t="s">
        <v>58</v>
      </c>
      <c r="C130" s="8"/>
      <c r="D130" s="8"/>
      <c r="E130" s="8"/>
      <c r="F130" s="8"/>
      <c r="G130" s="8"/>
      <c r="H130" s="15"/>
      <c r="I130" s="16"/>
      <c r="J130" s="16"/>
      <c r="K130" s="16"/>
      <c r="L130" s="23"/>
      <c r="M130" s="21"/>
      <c r="N130" s="314"/>
      <c r="O130" s="55"/>
      <c r="P130" s="23"/>
      <c r="Q130" s="21"/>
      <c r="R130" s="314"/>
      <c r="S130" s="55"/>
      <c r="T130" s="13"/>
      <c r="U130" s="67"/>
      <c r="V130" s="238"/>
      <c r="W130" s="230"/>
      <c r="X130" s="13"/>
      <c r="Y130" s="67"/>
      <c r="Z130" s="238"/>
      <c r="AA130" s="230"/>
      <c r="AB130" s="13"/>
      <c r="AC130" s="67"/>
      <c r="AD130" s="238"/>
      <c r="AE130" s="230"/>
    </row>
    <row r="131" spans="1:31" ht="12">
      <c r="A131" s="69" t="s">
        <v>51</v>
      </c>
      <c r="B131" s="10" t="s">
        <v>59</v>
      </c>
      <c r="H131" s="18"/>
      <c r="I131" s="14"/>
      <c r="J131" s="14"/>
      <c r="K131" s="14"/>
      <c r="L131" s="23"/>
      <c r="M131" s="21"/>
      <c r="N131" s="314"/>
      <c r="O131" s="55"/>
      <c r="P131" s="23"/>
      <c r="Q131" s="21"/>
      <c r="R131" s="314"/>
      <c r="S131" s="55"/>
      <c r="T131" s="13"/>
      <c r="U131" s="67"/>
      <c r="V131" s="238"/>
      <c r="W131" s="230"/>
      <c r="X131" s="13"/>
      <c r="Y131" s="67"/>
      <c r="Z131" s="238"/>
      <c r="AA131" s="230"/>
      <c r="AB131" s="13"/>
      <c r="AC131" s="67"/>
      <c r="AD131" s="238"/>
      <c r="AE131" s="230"/>
    </row>
    <row r="132" spans="1:31" ht="12">
      <c r="A132" s="69" t="s">
        <v>52</v>
      </c>
      <c r="B132" s="10" t="s">
        <v>60</v>
      </c>
      <c r="H132" s="18"/>
      <c r="I132" s="14"/>
      <c r="J132" s="14"/>
      <c r="K132" s="14"/>
      <c r="L132" s="23"/>
      <c r="M132" s="21"/>
      <c r="N132" s="314"/>
      <c r="O132" s="55"/>
      <c r="P132" s="23"/>
      <c r="Q132" s="21"/>
      <c r="R132" s="314"/>
      <c r="S132" s="55"/>
      <c r="T132" s="13"/>
      <c r="U132" s="67"/>
      <c r="V132" s="238"/>
      <c r="W132" s="230"/>
      <c r="X132" s="13"/>
      <c r="Y132" s="67"/>
      <c r="Z132" s="238"/>
      <c r="AA132" s="230"/>
      <c r="AB132" s="13"/>
      <c r="AC132" s="67"/>
      <c r="AD132" s="238"/>
      <c r="AE132" s="230"/>
    </row>
    <row r="133" spans="1:31" ht="12">
      <c r="A133" s="69" t="s">
        <v>53</v>
      </c>
      <c r="B133" s="10" t="s">
        <v>61</v>
      </c>
      <c r="H133" s="18"/>
      <c r="I133" s="14"/>
      <c r="J133" s="14"/>
      <c r="K133" s="14"/>
      <c r="L133" s="23"/>
      <c r="M133" s="21"/>
      <c r="N133" s="314"/>
      <c r="O133" s="55"/>
      <c r="P133" s="23"/>
      <c r="Q133" s="21"/>
      <c r="R133" s="314"/>
      <c r="S133" s="55"/>
      <c r="T133" s="13"/>
      <c r="U133" s="67"/>
      <c r="V133" s="238"/>
      <c r="W133" s="230"/>
      <c r="X133" s="13"/>
      <c r="Y133" s="67"/>
      <c r="Z133" s="238"/>
      <c r="AA133" s="230"/>
      <c r="AB133" s="13"/>
      <c r="AC133" s="67"/>
      <c r="AD133" s="238"/>
      <c r="AE133" s="230"/>
    </row>
    <row r="134" spans="1:31" ht="12">
      <c r="A134" s="69" t="s">
        <v>185</v>
      </c>
      <c r="B134" s="10" t="s">
        <v>62</v>
      </c>
      <c r="H134" s="18"/>
      <c r="I134" s="14">
        <v>120756</v>
      </c>
      <c r="J134" s="14"/>
      <c r="K134" s="14">
        <f>H134+I134+J134</f>
        <v>120756</v>
      </c>
      <c r="L134" s="23"/>
      <c r="M134" s="21"/>
      <c r="N134" s="314"/>
      <c r="O134" s="55">
        <f>K134</f>
        <v>120756</v>
      </c>
      <c r="P134" s="23"/>
      <c r="Q134" s="21"/>
      <c r="R134" s="314"/>
      <c r="S134" s="55">
        <f>O134</f>
        <v>120756</v>
      </c>
      <c r="T134" s="13" t="s">
        <v>253</v>
      </c>
      <c r="U134" s="67">
        <v>1</v>
      </c>
      <c r="V134" s="238"/>
      <c r="W134" s="232">
        <v>16337500</v>
      </c>
      <c r="X134" s="13" t="s">
        <v>253</v>
      </c>
      <c r="Y134" s="67">
        <v>1</v>
      </c>
      <c r="Z134" s="238"/>
      <c r="AA134" s="232">
        <f>W134</f>
        <v>16337500</v>
      </c>
      <c r="AB134" s="23" t="s">
        <v>253</v>
      </c>
      <c r="AC134" s="96">
        <v>1</v>
      </c>
      <c r="AD134" s="314"/>
      <c r="AE134" s="232">
        <f>W134</f>
        <v>16337500</v>
      </c>
    </row>
    <row r="135" spans="1:31" ht="12">
      <c r="A135" s="69" t="s">
        <v>235</v>
      </c>
      <c r="B135" s="10" t="s">
        <v>63</v>
      </c>
      <c r="H135" s="18"/>
      <c r="I135" s="14"/>
      <c r="J135" s="14"/>
      <c r="K135" s="14"/>
      <c r="L135" s="23"/>
      <c r="M135" s="21"/>
      <c r="N135" s="314"/>
      <c r="O135" s="55"/>
      <c r="P135" s="23"/>
      <c r="Q135" s="21"/>
      <c r="R135" s="314"/>
      <c r="S135" s="55"/>
      <c r="T135" s="13"/>
      <c r="U135" s="67"/>
      <c r="V135" s="238"/>
      <c r="W135" s="232">
        <v>100000</v>
      </c>
      <c r="X135" s="13"/>
      <c r="Y135" s="67"/>
      <c r="Z135" s="238"/>
      <c r="AA135" s="232">
        <v>100000</v>
      </c>
      <c r="AB135" s="23"/>
      <c r="AC135" s="96"/>
      <c r="AD135" s="314"/>
      <c r="AE135" s="232">
        <v>100000</v>
      </c>
    </row>
    <row r="136" spans="1:31" ht="12.75" thickBot="1">
      <c r="A136" s="69" t="s">
        <v>236</v>
      </c>
      <c r="B136" s="89" t="s">
        <v>64</v>
      </c>
      <c r="C136" s="89"/>
      <c r="D136" s="89"/>
      <c r="E136" s="89"/>
      <c r="F136" s="89"/>
      <c r="G136" s="89"/>
      <c r="H136" s="73"/>
      <c r="I136" s="74"/>
      <c r="J136" s="74"/>
      <c r="K136" s="74"/>
      <c r="L136" s="76"/>
      <c r="M136" s="90"/>
      <c r="N136" s="315"/>
      <c r="O136" s="56"/>
      <c r="P136" s="76"/>
      <c r="Q136" s="90"/>
      <c r="R136" s="315"/>
      <c r="S136" s="56"/>
      <c r="T136" s="13"/>
      <c r="U136" s="67"/>
      <c r="V136" s="238"/>
      <c r="W136" s="230"/>
      <c r="X136" s="13"/>
      <c r="Y136" s="67"/>
      <c r="Z136" s="238"/>
      <c r="AA136" s="230"/>
      <c r="AB136" s="13"/>
      <c r="AC136" s="67"/>
      <c r="AD136" s="238"/>
      <c r="AE136" s="230"/>
    </row>
    <row r="137" spans="1:31" ht="12.75" thickTop="1">
      <c r="A137" s="79"/>
      <c r="B137" s="80" t="s">
        <v>65</v>
      </c>
      <c r="C137" s="80"/>
      <c r="D137" s="80"/>
      <c r="E137" s="80"/>
      <c r="F137" s="80"/>
      <c r="G137" s="80"/>
      <c r="H137" s="104">
        <f>SUM(H129:H136)</f>
        <v>0</v>
      </c>
      <c r="I137" s="102">
        <f>SUM(I129:I136)</f>
        <v>120756</v>
      </c>
      <c r="J137" s="102">
        <f>SUM(J129:J136)</f>
        <v>0</v>
      </c>
      <c r="K137" s="82">
        <f>SUM(K130:K136)</f>
        <v>120756</v>
      </c>
      <c r="L137" s="83"/>
      <c r="M137" s="105">
        <v>0</v>
      </c>
      <c r="N137" s="250"/>
      <c r="O137" s="57">
        <f>+O136+O135+O134+O133+O132+O131</f>
        <v>120756</v>
      </c>
      <c r="P137" s="83"/>
      <c r="Q137" s="105"/>
      <c r="R137" s="250"/>
      <c r="S137" s="57">
        <f>+S136+S135+S134+S133+S132+S131</f>
        <v>120756</v>
      </c>
      <c r="T137" s="241"/>
      <c r="U137" s="172"/>
      <c r="V137" s="316"/>
      <c r="W137" s="251">
        <f>+W136+W135+W134+W133+W132+W131</f>
        <v>16437500</v>
      </c>
      <c r="X137" s="241"/>
      <c r="Y137" s="172"/>
      <c r="Z137" s="316"/>
      <c r="AA137" s="251">
        <f>+AA136+AA135+AA134+AA133+AA132+AA131</f>
        <v>16437500</v>
      </c>
      <c r="AB137" s="241"/>
      <c r="AC137" s="172"/>
      <c r="AD137" s="316"/>
      <c r="AE137" s="251">
        <f>+AE136+AE135+AE134+AE133+AE132+AE131</f>
        <v>16437500</v>
      </c>
    </row>
    <row r="138" spans="1:31" ht="12.75" thickBot="1">
      <c r="A138" s="88"/>
      <c r="B138" s="89"/>
      <c r="C138" s="89"/>
      <c r="D138" s="89"/>
      <c r="E138" s="89"/>
      <c r="F138" s="89"/>
      <c r="G138" s="89"/>
      <c r="H138" s="73"/>
      <c r="I138" s="74"/>
      <c r="J138" s="74"/>
      <c r="K138" s="74"/>
      <c r="L138" s="76"/>
      <c r="M138" s="90"/>
      <c r="N138" s="315"/>
      <c r="O138" s="56"/>
      <c r="P138" s="76"/>
      <c r="Q138" s="90"/>
      <c r="R138" s="315"/>
      <c r="S138" s="56"/>
      <c r="T138" s="13"/>
      <c r="U138" s="67"/>
      <c r="V138" s="238"/>
      <c r="W138" s="230"/>
      <c r="X138" s="13"/>
      <c r="Y138" s="67"/>
      <c r="Z138" s="238"/>
      <c r="AA138" s="230"/>
      <c r="AB138" s="13"/>
      <c r="AC138" s="67"/>
      <c r="AD138" s="238"/>
      <c r="AE138" s="230"/>
    </row>
    <row r="139" spans="1:31" ht="12" thickTop="1">
      <c r="A139" s="91"/>
      <c r="B139" s="3" t="s">
        <v>237</v>
      </c>
      <c r="C139" s="3"/>
      <c r="D139" s="92"/>
      <c r="E139" s="92"/>
      <c r="F139" s="92"/>
      <c r="G139" s="92"/>
      <c r="H139" s="93">
        <f>H137+H128+H121+H30</f>
        <v>614360</v>
      </c>
      <c r="I139" s="82">
        <f>I137+I128+I121+I30</f>
        <v>2738123</v>
      </c>
      <c r="J139" s="82">
        <f>J137+J128+J121+J30</f>
        <v>153354</v>
      </c>
      <c r="K139" s="82">
        <f>K137+K128+K121+K30</f>
        <v>3883707</v>
      </c>
      <c r="L139" s="83" t="s">
        <v>10</v>
      </c>
      <c r="M139" s="84">
        <f>M30+M121</f>
        <v>1359</v>
      </c>
      <c r="N139" s="250">
        <f>O139/M139</f>
        <v>2857.7682119205297</v>
      </c>
      <c r="O139" s="101">
        <f>+O137+O128+O121+O30</f>
        <v>3883707</v>
      </c>
      <c r="P139" s="83" t="s">
        <v>10</v>
      </c>
      <c r="Q139" s="84">
        <f>Q30+Q121</f>
        <v>1359</v>
      </c>
      <c r="R139" s="250">
        <f>S139/Q139</f>
        <v>2857.7682119205297</v>
      </c>
      <c r="S139" s="101">
        <f>+S137+S128+S121+S30</f>
        <v>3883707</v>
      </c>
      <c r="T139" s="241" t="s">
        <v>10</v>
      </c>
      <c r="U139" s="249">
        <f>U30+U121</f>
        <v>1359</v>
      </c>
      <c r="V139" s="250">
        <f>W139/U139</f>
        <v>16670.273730684326</v>
      </c>
      <c r="W139" s="236">
        <f>+W137+W128+W121+W30</f>
        <v>22654902</v>
      </c>
      <c r="X139" s="241" t="s">
        <v>10</v>
      </c>
      <c r="Y139" s="249">
        <f>Y30+Y121</f>
        <v>1359</v>
      </c>
      <c r="Z139" s="250">
        <f>AA139/Y139</f>
        <v>16670.273730684326</v>
      </c>
      <c r="AA139" s="236">
        <f>+AA137+AA128+AA121+AA30</f>
        <v>22654902</v>
      </c>
      <c r="AB139" s="241" t="s">
        <v>10</v>
      </c>
      <c r="AC139" s="249">
        <f>AC30+AC121</f>
        <v>1359</v>
      </c>
      <c r="AD139" s="250">
        <f>AE139/AC139</f>
        <v>16670.273730684326</v>
      </c>
      <c r="AE139" s="236">
        <f>+AE137+AE128+AE121+AE30</f>
        <v>22654902</v>
      </c>
    </row>
    <row r="140" spans="1:31" ht="11.25">
      <c r="A140" s="69"/>
      <c r="H140" s="18"/>
      <c r="I140" s="14"/>
      <c r="J140" s="14"/>
      <c r="K140" s="14"/>
      <c r="L140" s="23"/>
      <c r="M140" s="21"/>
      <c r="N140" s="314"/>
      <c r="O140" s="55"/>
      <c r="P140" s="23"/>
      <c r="Q140" s="21"/>
      <c r="R140" s="314"/>
      <c r="S140" s="55"/>
      <c r="T140" s="13"/>
      <c r="U140" s="67"/>
      <c r="V140" s="238"/>
      <c r="W140" s="230"/>
      <c r="X140" s="13"/>
      <c r="Y140" s="67"/>
      <c r="Z140" s="238"/>
      <c r="AA140" s="230"/>
      <c r="AB140" s="13"/>
      <c r="AC140" s="67"/>
      <c r="AD140" s="238"/>
      <c r="AE140" s="230"/>
    </row>
    <row r="141" spans="1:31" ht="12">
      <c r="A141" s="69">
        <v>5</v>
      </c>
      <c r="B141" s="12" t="s">
        <v>66</v>
      </c>
      <c r="C141" s="12"/>
      <c r="H141" s="18"/>
      <c r="I141" s="14"/>
      <c r="J141" s="14"/>
      <c r="K141" s="14"/>
      <c r="L141" s="23"/>
      <c r="M141" s="21"/>
      <c r="N141" s="314"/>
      <c r="O141" s="71"/>
      <c r="P141" s="23"/>
      <c r="Q141" s="21"/>
      <c r="R141" s="314"/>
      <c r="S141" s="71"/>
      <c r="T141" s="13"/>
      <c r="U141" s="67"/>
      <c r="V141" s="238"/>
      <c r="W141" s="230"/>
      <c r="X141" s="13"/>
      <c r="Y141" s="67"/>
      <c r="Z141" s="238"/>
      <c r="AA141" s="230"/>
      <c r="AB141" s="13"/>
      <c r="AC141" s="67"/>
      <c r="AD141" s="238"/>
      <c r="AE141" s="230"/>
    </row>
    <row r="142" spans="1:31" ht="11.25">
      <c r="A142" s="69" t="s">
        <v>134</v>
      </c>
      <c r="B142" s="29" t="s">
        <v>187</v>
      </c>
      <c r="C142" s="17"/>
      <c r="G142" s="106">
        <v>0.05</v>
      </c>
      <c r="H142" s="18">
        <f>H139*0.05</f>
        <v>30718</v>
      </c>
      <c r="I142" s="37">
        <f>I139*0.05</f>
        <v>136906.15</v>
      </c>
      <c r="J142" s="37">
        <f>J139*0.05</f>
        <v>7667.700000000001</v>
      </c>
      <c r="K142" s="38">
        <f>K139*0.05</f>
        <v>194185.35</v>
      </c>
      <c r="L142" s="23"/>
      <c r="M142" s="21"/>
      <c r="N142" s="314"/>
      <c r="O142" s="232">
        <f>K142</f>
        <v>194185.35</v>
      </c>
      <c r="P142" s="285">
        <v>0.05</v>
      </c>
      <c r="Q142" s="21"/>
      <c r="R142" s="314"/>
      <c r="S142" s="58">
        <f>$S$139*P142</f>
        <v>194185.35</v>
      </c>
      <c r="T142" s="243">
        <v>0.05</v>
      </c>
      <c r="U142" s="67"/>
      <c r="V142" s="238"/>
      <c r="W142" s="244">
        <f>$W$139*T142</f>
        <v>1132745.1</v>
      </c>
      <c r="X142" s="243">
        <v>0.05</v>
      </c>
      <c r="Y142" s="67"/>
      <c r="Z142" s="238"/>
      <c r="AA142" s="244">
        <f>$W$139*X142</f>
        <v>1132745.1</v>
      </c>
      <c r="AB142" s="243">
        <v>0.05</v>
      </c>
      <c r="AC142" s="67"/>
      <c r="AD142" s="238"/>
      <c r="AE142" s="244">
        <f>$W$139*AB142</f>
        <v>1132745.1</v>
      </c>
    </row>
    <row r="143" spans="1:31" ht="11.25">
      <c r="A143" s="69" t="s">
        <v>135</v>
      </c>
      <c r="B143" s="21" t="s">
        <v>189</v>
      </c>
      <c r="G143" s="106">
        <v>0.05</v>
      </c>
      <c r="H143" s="18">
        <f>H139*0.05</f>
        <v>30718</v>
      </c>
      <c r="I143" s="37">
        <f>I139*0.05</f>
        <v>136906.15</v>
      </c>
      <c r="J143" s="37">
        <f>J139*0.05</f>
        <v>7667.700000000001</v>
      </c>
      <c r="K143" s="38">
        <f>K139*0.05</f>
        <v>194185.35</v>
      </c>
      <c r="L143" s="23"/>
      <c r="M143" s="21"/>
      <c r="N143" s="314"/>
      <c r="O143" s="232">
        <f aca="true" t="shared" si="0" ref="O143:O149">K143</f>
        <v>194185.35</v>
      </c>
      <c r="P143" s="285">
        <v>0.05</v>
      </c>
      <c r="Q143" s="21"/>
      <c r="R143" s="314"/>
      <c r="S143" s="58">
        <f aca="true" t="shared" si="1" ref="S143:S149">$S$139*P143</f>
        <v>194185.35</v>
      </c>
      <c r="T143" s="243">
        <v>0.05</v>
      </c>
      <c r="U143" s="67"/>
      <c r="V143" s="238"/>
      <c r="W143" s="244">
        <f aca="true" t="shared" si="2" ref="W143:W149">$W$139*T143</f>
        <v>1132745.1</v>
      </c>
      <c r="X143" s="243">
        <v>0.05</v>
      </c>
      <c r="Y143" s="67"/>
      <c r="Z143" s="238"/>
      <c r="AA143" s="244">
        <f aca="true" t="shared" si="3" ref="AA143:AA148">$W$139*X143</f>
        <v>1132745.1</v>
      </c>
      <c r="AB143" s="243">
        <v>0.05</v>
      </c>
      <c r="AC143" s="67"/>
      <c r="AD143" s="238"/>
      <c r="AE143" s="244">
        <f aca="true" t="shared" si="4" ref="AE143:AE148">$W$139*AB143</f>
        <v>1132745.1</v>
      </c>
    </row>
    <row r="144" spans="1:31" ht="11.25">
      <c r="A144" s="69" t="s">
        <v>136</v>
      </c>
      <c r="B144" s="21" t="s">
        <v>68</v>
      </c>
      <c r="G144" s="107"/>
      <c r="H144" s="18"/>
      <c r="I144" s="37"/>
      <c r="J144" s="37"/>
      <c r="K144" s="38"/>
      <c r="L144" s="23"/>
      <c r="M144" s="21"/>
      <c r="N144" s="314"/>
      <c r="O144" s="232">
        <f t="shared" si="0"/>
        <v>0</v>
      </c>
      <c r="P144" s="285">
        <v>0.03</v>
      </c>
      <c r="Q144" s="21"/>
      <c r="R144" s="314"/>
      <c r="S144" s="58">
        <f t="shared" si="1"/>
        <v>116511.20999999999</v>
      </c>
      <c r="T144" s="243">
        <v>0.03</v>
      </c>
      <c r="U144" s="67"/>
      <c r="V144" s="238"/>
      <c r="W144" s="244">
        <f t="shared" si="2"/>
        <v>679647.0599999999</v>
      </c>
      <c r="X144" s="243">
        <v>0.03</v>
      </c>
      <c r="Y144" s="67"/>
      <c r="Z144" s="238"/>
      <c r="AA144" s="244">
        <f t="shared" si="3"/>
        <v>679647.0599999999</v>
      </c>
      <c r="AB144" s="243">
        <v>0.03</v>
      </c>
      <c r="AC144" s="67"/>
      <c r="AD144" s="238"/>
      <c r="AE144" s="244">
        <f t="shared" si="4"/>
        <v>679647.0599999999</v>
      </c>
    </row>
    <row r="145" spans="1:31" ht="11.25">
      <c r="A145" s="69" t="s">
        <v>137</v>
      </c>
      <c r="B145" s="21" t="s">
        <v>69</v>
      </c>
      <c r="G145" s="107"/>
      <c r="H145" s="18"/>
      <c r="I145" s="37"/>
      <c r="J145" s="37"/>
      <c r="K145" s="38"/>
      <c r="L145" s="23"/>
      <c r="M145" s="21"/>
      <c r="N145" s="314"/>
      <c r="O145" s="232">
        <f t="shared" si="0"/>
        <v>0</v>
      </c>
      <c r="P145" s="285">
        <v>0.05</v>
      </c>
      <c r="Q145" s="21"/>
      <c r="R145" s="314"/>
      <c r="S145" s="58">
        <f t="shared" si="1"/>
        <v>194185.35</v>
      </c>
      <c r="T145" s="243">
        <v>0.05</v>
      </c>
      <c r="U145" s="67"/>
      <c r="V145" s="238"/>
      <c r="W145" s="244">
        <f t="shared" si="2"/>
        <v>1132745.1</v>
      </c>
      <c r="X145" s="243">
        <v>0.05</v>
      </c>
      <c r="Y145" s="67"/>
      <c r="Z145" s="238"/>
      <c r="AA145" s="244">
        <f t="shared" si="3"/>
        <v>1132745.1</v>
      </c>
      <c r="AB145" s="243">
        <v>0.05</v>
      </c>
      <c r="AC145" s="67"/>
      <c r="AD145" s="238"/>
      <c r="AE145" s="244">
        <f t="shared" si="4"/>
        <v>1132745.1</v>
      </c>
    </row>
    <row r="146" spans="1:31" ht="11.25">
      <c r="A146" s="69" t="s">
        <v>138</v>
      </c>
      <c r="B146" s="21" t="s">
        <v>70</v>
      </c>
      <c r="G146" s="107"/>
      <c r="H146" s="18"/>
      <c r="I146" s="37"/>
      <c r="J146" s="37"/>
      <c r="K146" s="38"/>
      <c r="L146" s="23"/>
      <c r="M146" s="21"/>
      <c r="N146" s="314"/>
      <c r="O146" s="232">
        <f t="shared" si="0"/>
        <v>0</v>
      </c>
      <c r="P146" s="285">
        <v>0.15</v>
      </c>
      <c r="Q146" s="21"/>
      <c r="R146" s="314"/>
      <c r="S146" s="58">
        <f t="shared" si="1"/>
        <v>582556.0499999999</v>
      </c>
      <c r="T146" s="243">
        <v>0.15</v>
      </c>
      <c r="U146" s="67"/>
      <c r="V146" s="238"/>
      <c r="W146" s="244">
        <f t="shared" si="2"/>
        <v>3398235.3</v>
      </c>
      <c r="X146" s="243">
        <v>0.15</v>
      </c>
      <c r="Y146" s="67"/>
      <c r="Z146" s="238"/>
      <c r="AA146" s="244">
        <f t="shared" si="3"/>
        <v>3398235.3</v>
      </c>
      <c r="AB146" s="243">
        <v>0.15</v>
      </c>
      <c r="AC146" s="67"/>
      <c r="AD146" s="238"/>
      <c r="AE146" s="244">
        <f t="shared" si="4"/>
        <v>3398235.3</v>
      </c>
    </row>
    <row r="147" spans="1:31" ht="11.25">
      <c r="A147" s="69" t="s">
        <v>139</v>
      </c>
      <c r="B147" s="21" t="s">
        <v>71</v>
      </c>
      <c r="G147" s="106">
        <v>0.1</v>
      </c>
      <c r="H147" s="18">
        <f>H139*0.1</f>
        <v>61436</v>
      </c>
      <c r="I147" s="37">
        <f>I139*0.1</f>
        <v>273812.3</v>
      </c>
      <c r="J147" s="37">
        <f>J139*0.1</f>
        <v>15335.400000000001</v>
      </c>
      <c r="K147" s="38">
        <f>K139*0.1</f>
        <v>388370.7</v>
      </c>
      <c r="L147" s="23"/>
      <c r="M147" s="21"/>
      <c r="N147" s="314"/>
      <c r="O147" s="232">
        <f t="shared" si="0"/>
        <v>388370.7</v>
      </c>
      <c r="P147" s="285">
        <v>0.1</v>
      </c>
      <c r="Q147" s="21"/>
      <c r="R147" s="314"/>
      <c r="S147" s="58">
        <f t="shared" si="1"/>
        <v>388370.7</v>
      </c>
      <c r="T147" s="243">
        <v>0.1</v>
      </c>
      <c r="U147" s="67"/>
      <c r="V147" s="238"/>
      <c r="W147" s="244">
        <f t="shared" si="2"/>
        <v>2265490.2</v>
      </c>
      <c r="X147" s="243">
        <v>0.1</v>
      </c>
      <c r="Y147" s="67"/>
      <c r="Z147" s="238"/>
      <c r="AA147" s="244">
        <f t="shared" si="3"/>
        <v>2265490.2</v>
      </c>
      <c r="AB147" s="243">
        <v>0.1</v>
      </c>
      <c r="AC147" s="67"/>
      <c r="AD147" s="238"/>
      <c r="AE147" s="244">
        <f t="shared" si="4"/>
        <v>2265490.2</v>
      </c>
    </row>
    <row r="148" spans="1:31" ht="11.25">
      <c r="A148" s="69" t="s">
        <v>140</v>
      </c>
      <c r="B148" s="21" t="s">
        <v>188</v>
      </c>
      <c r="G148" s="106">
        <v>0.05</v>
      </c>
      <c r="H148" s="18">
        <f>H139*0.05</f>
        <v>30718</v>
      </c>
      <c r="I148" s="37">
        <f>I139*0.05</f>
        <v>136906.15</v>
      </c>
      <c r="J148" s="37">
        <f>J139*0.05</f>
        <v>7667.700000000001</v>
      </c>
      <c r="K148" s="38">
        <f>K139*0.05</f>
        <v>194185.35</v>
      </c>
      <c r="L148" s="23"/>
      <c r="M148" s="21"/>
      <c r="N148" s="314"/>
      <c r="O148" s="232">
        <f t="shared" si="0"/>
        <v>194185.35</v>
      </c>
      <c r="P148" s="285">
        <v>0.05</v>
      </c>
      <c r="Q148" s="21"/>
      <c r="R148" s="314"/>
      <c r="S148" s="58">
        <f t="shared" si="1"/>
        <v>194185.35</v>
      </c>
      <c r="T148" s="243">
        <v>0.05</v>
      </c>
      <c r="U148" s="67"/>
      <c r="V148" s="238"/>
      <c r="W148" s="244">
        <f t="shared" si="2"/>
        <v>1132745.1</v>
      </c>
      <c r="X148" s="243">
        <v>0.05</v>
      </c>
      <c r="Y148" s="67"/>
      <c r="Z148" s="238"/>
      <c r="AA148" s="244">
        <f t="shared" si="3"/>
        <v>1132745.1</v>
      </c>
      <c r="AB148" s="243">
        <v>0.05</v>
      </c>
      <c r="AC148" s="67"/>
      <c r="AD148" s="238"/>
      <c r="AE148" s="244">
        <f t="shared" si="4"/>
        <v>1132745.1</v>
      </c>
    </row>
    <row r="149" spans="1:31" ht="11.25">
      <c r="A149" s="69" t="s">
        <v>141</v>
      </c>
      <c r="B149" s="21" t="s">
        <v>279</v>
      </c>
      <c r="G149" s="106">
        <v>0.08</v>
      </c>
      <c r="H149" s="18">
        <f>H139*0.08</f>
        <v>49148.8</v>
      </c>
      <c r="I149" s="37">
        <f>I139*0.08</f>
        <v>219049.84</v>
      </c>
      <c r="J149" s="37">
        <f>J139*0.08</f>
        <v>12268.32</v>
      </c>
      <c r="K149" s="38">
        <f>K139*0.08</f>
        <v>310696.56</v>
      </c>
      <c r="L149" s="23"/>
      <c r="M149" s="21"/>
      <c r="N149" s="314"/>
      <c r="O149" s="232">
        <f t="shared" si="0"/>
        <v>310696.56</v>
      </c>
      <c r="P149" s="285">
        <v>0.03</v>
      </c>
      <c r="Q149" s="21"/>
      <c r="R149" s="314"/>
      <c r="S149" s="58">
        <f t="shared" si="1"/>
        <v>116511.20999999999</v>
      </c>
      <c r="T149" s="243">
        <v>0.03</v>
      </c>
      <c r="U149" s="67"/>
      <c r="V149" s="238"/>
      <c r="W149" s="244">
        <f t="shared" si="2"/>
        <v>679647.0599999999</v>
      </c>
      <c r="X149" s="243">
        <v>0.03</v>
      </c>
      <c r="Y149" s="67"/>
      <c r="Z149" s="238"/>
      <c r="AA149" s="244">
        <f>$W$139*X149</f>
        <v>679647.0599999999</v>
      </c>
      <c r="AB149" s="243">
        <v>0.03</v>
      </c>
      <c r="AC149" s="67"/>
      <c r="AD149" s="238"/>
      <c r="AE149" s="244">
        <f>$W$139*AB149</f>
        <v>679647.0599999999</v>
      </c>
    </row>
    <row r="150" spans="1:31" ht="12" thickBot="1">
      <c r="A150" s="88"/>
      <c r="B150" s="89"/>
      <c r="C150" s="89"/>
      <c r="D150" s="89"/>
      <c r="E150" s="89"/>
      <c r="F150" s="89"/>
      <c r="G150" s="89"/>
      <c r="H150" s="73"/>
      <c r="I150" s="74"/>
      <c r="J150" s="74"/>
      <c r="K150" s="74"/>
      <c r="L150" s="76"/>
      <c r="M150" s="108"/>
      <c r="N150" s="322"/>
      <c r="O150" s="286"/>
      <c r="P150" s="108"/>
      <c r="Q150" s="108"/>
      <c r="R150" s="322"/>
      <c r="S150" s="56"/>
      <c r="T150" s="13"/>
      <c r="U150" s="67"/>
      <c r="V150" s="238"/>
      <c r="W150" s="230"/>
      <c r="X150" s="13"/>
      <c r="Y150" s="67"/>
      <c r="Z150" s="238"/>
      <c r="AA150" s="230"/>
      <c r="AB150" s="13"/>
      <c r="AC150" s="67"/>
      <c r="AD150" s="238"/>
      <c r="AE150" s="230"/>
    </row>
    <row r="151" spans="1:31" ht="12" thickTop="1">
      <c r="A151" s="241"/>
      <c r="B151" s="80" t="s">
        <v>72</v>
      </c>
      <c r="C151" s="80"/>
      <c r="D151" s="80"/>
      <c r="E151" s="80"/>
      <c r="F151" s="80"/>
      <c r="G151" s="81"/>
      <c r="H151" s="93"/>
      <c r="I151" s="102"/>
      <c r="J151" s="102"/>
      <c r="K151" s="102">
        <f>SUM(K141:K150)</f>
        <v>1281623.31</v>
      </c>
      <c r="L151" s="103"/>
      <c r="M151" s="282"/>
      <c r="N151" s="281">
        <f>O151/K139</f>
        <v>0.33</v>
      </c>
      <c r="O151" s="14">
        <f>SUM(O141:O150)</f>
        <v>1281623.31</v>
      </c>
      <c r="P151" s="103"/>
      <c r="Q151" s="284"/>
      <c r="R151" s="281">
        <f>S151/O139</f>
        <v>0.51</v>
      </c>
      <c r="S151" s="168">
        <f>SUM(S141:S150)</f>
        <v>1980690.57</v>
      </c>
      <c r="T151" s="241"/>
      <c r="U151" s="172"/>
      <c r="V151" s="281">
        <f>W151/W139</f>
        <v>0.51</v>
      </c>
      <c r="W151" s="242">
        <f>SUM(W141:W150)</f>
        <v>11554000.02</v>
      </c>
      <c r="X151" s="241"/>
      <c r="Y151" s="172"/>
      <c r="Z151" s="281">
        <f>AA151/AA139</f>
        <v>0.51</v>
      </c>
      <c r="AA151" s="242">
        <f>SUM(AA141:AA150)</f>
        <v>11554000.02</v>
      </c>
      <c r="AB151" s="241"/>
      <c r="AC151" s="172"/>
      <c r="AD151" s="281">
        <f>AE151/AE139</f>
        <v>0.51</v>
      </c>
      <c r="AE151" s="242">
        <f>SUM(AE141:AE150)</f>
        <v>11554000.02</v>
      </c>
    </row>
    <row r="152" spans="1:31" ht="12" thickBot="1">
      <c r="A152" s="109"/>
      <c r="B152" s="89"/>
      <c r="C152" s="89"/>
      <c r="D152" s="89"/>
      <c r="E152" s="89"/>
      <c r="F152" s="89"/>
      <c r="G152" s="89"/>
      <c r="H152" s="73"/>
      <c r="I152" s="74"/>
      <c r="J152" s="74"/>
      <c r="K152" s="74"/>
      <c r="L152" s="76"/>
      <c r="M152" s="90"/>
      <c r="N152" s="315"/>
      <c r="O152" s="283"/>
      <c r="P152" s="76"/>
      <c r="Q152" s="90"/>
      <c r="R152" s="315"/>
      <c r="S152" s="110"/>
      <c r="T152" s="13"/>
      <c r="U152" s="67"/>
      <c r="V152" s="238"/>
      <c r="W152" s="230"/>
      <c r="X152" s="13"/>
      <c r="Y152" s="67"/>
      <c r="Z152" s="238"/>
      <c r="AA152" s="230"/>
      <c r="AB152" s="13"/>
      <c r="AC152" s="67"/>
      <c r="AD152" s="238"/>
      <c r="AE152" s="230"/>
    </row>
    <row r="153" spans="1:31" ht="12" thickTop="1">
      <c r="A153" s="133" t="s">
        <v>143</v>
      </c>
      <c r="B153" s="3"/>
      <c r="C153" s="3"/>
      <c r="D153" s="3"/>
      <c r="E153" s="92"/>
      <c r="F153" s="92"/>
      <c r="G153" s="92"/>
      <c r="H153" s="93">
        <f>H139+H151</f>
        <v>614360</v>
      </c>
      <c r="I153" s="82">
        <f>I139+I151</f>
        <v>2738123</v>
      </c>
      <c r="J153" s="82">
        <f>J139+J151</f>
        <v>153354</v>
      </c>
      <c r="K153" s="82">
        <f>K139+K151</f>
        <v>5165330.3100000005</v>
      </c>
      <c r="L153" s="83"/>
      <c r="M153" s="111"/>
      <c r="N153" s="323"/>
      <c r="O153" s="57">
        <f>O139+O151</f>
        <v>5165330.3100000005</v>
      </c>
      <c r="P153" s="83"/>
      <c r="Q153" s="111"/>
      <c r="R153" s="323"/>
      <c r="S153" s="57">
        <f>S139+S151</f>
        <v>5864397.57</v>
      </c>
      <c r="T153" s="241"/>
      <c r="U153" s="172"/>
      <c r="V153" s="316"/>
      <c r="W153" s="251">
        <f>W139+W151</f>
        <v>34208902.019999996</v>
      </c>
      <c r="X153" s="241"/>
      <c r="Y153" s="172"/>
      <c r="Z153" s="316"/>
      <c r="AA153" s="251">
        <f>AA139+AA151</f>
        <v>34208902.019999996</v>
      </c>
      <c r="AB153" s="241"/>
      <c r="AC153" s="172"/>
      <c r="AD153" s="316"/>
      <c r="AE153" s="251">
        <f>AE139+AE151</f>
        <v>34208902.019999996</v>
      </c>
    </row>
    <row r="154" spans="1:31" ht="12" thickBot="1">
      <c r="A154" s="69"/>
      <c r="H154" s="72"/>
      <c r="L154" s="13"/>
      <c r="N154" s="238"/>
      <c r="O154" s="112"/>
      <c r="P154" s="13"/>
      <c r="R154" s="238"/>
      <c r="S154" s="112"/>
      <c r="T154" s="13"/>
      <c r="U154" s="67"/>
      <c r="V154" s="238"/>
      <c r="W154" s="230"/>
      <c r="X154" s="13"/>
      <c r="Y154" s="67"/>
      <c r="Z154" s="238"/>
      <c r="AA154" s="230"/>
      <c r="AB154" s="13"/>
      <c r="AC154" s="67"/>
      <c r="AD154" s="238"/>
      <c r="AE154" s="230"/>
    </row>
    <row r="155" spans="1:31" ht="12.75" thickBot="1" thickTop="1">
      <c r="A155" s="134" t="s">
        <v>274</v>
      </c>
      <c r="B155" s="27"/>
      <c r="C155" s="27"/>
      <c r="D155" s="27"/>
      <c r="E155" s="27"/>
      <c r="F155" s="27"/>
      <c r="G155" s="27"/>
      <c r="H155" s="113"/>
      <c r="I155" s="114"/>
      <c r="J155" s="114"/>
      <c r="K155" s="114">
        <f>K153+'Operating Cost Estimate'!H56</f>
        <v>9104984.49</v>
      </c>
      <c r="L155" s="115"/>
      <c r="M155" s="116"/>
      <c r="N155" s="317"/>
      <c r="O155" s="252">
        <f>O153+'Operating Cost Estimate'!H56</f>
        <v>9104984.49</v>
      </c>
      <c r="P155" s="115"/>
      <c r="Q155" s="116"/>
      <c r="R155" s="317"/>
      <c r="S155" s="252">
        <f>S153+'Operating Cost Estimate'!J56</f>
        <v>10337238.030000001</v>
      </c>
      <c r="T155" s="115"/>
      <c r="U155" s="245"/>
      <c r="V155" s="317"/>
      <c r="W155" s="253">
        <f>W153+'Operating Cost Estimate'!L56</f>
        <v>38681742.48</v>
      </c>
      <c r="X155" s="115"/>
      <c r="Y155" s="245"/>
      <c r="Z155" s="317"/>
      <c r="AA155" s="253">
        <f>AA153+'Operating Cost Estimate'!N71</f>
        <v>94544637.06</v>
      </c>
      <c r="AB155" s="115"/>
      <c r="AC155" s="245"/>
      <c r="AD155" s="317"/>
      <c r="AE155" s="253">
        <f>AE153+'Operating Cost Estimate'!P71</f>
        <v>140341736.60999998</v>
      </c>
    </row>
    <row r="156" spans="1:32" ht="12" thickTop="1">
      <c r="A156" s="287"/>
      <c r="G156" s="132"/>
      <c r="H156" s="318"/>
      <c r="I156" s="318"/>
      <c r="J156" s="318"/>
      <c r="K156" s="318"/>
      <c r="L156" s="132"/>
      <c r="M156" s="311"/>
      <c r="N156" s="318"/>
      <c r="O156" s="288"/>
      <c r="P156" s="132"/>
      <c r="Q156" s="311"/>
      <c r="R156" s="318"/>
      <c r="S156" s="288"/>
      <c r="T156" s="22"/>
      <c r="U156" s="132"/>
      <c r="V156" s="318"/>
      <c r="W156" s="132"/>
      <c r="X156" s="22"/>
      <c r="Y156" s="132"/>
      <c r="Z156" s="318"/>
      <c r="AA156" s="132"/>
      <c r="AB156" s="22"/>
      <c r="AC156" s="132"/>
      <c r="AD156" s="318"/>
      <c r="AE156" s="132"/>
      <c r="AF156" s="22"/>
    </row>
    <row r="157" spans="1:31" ht="11.25">
      <c r="A157" s="117"/>
      <c r="H157" s="18"/>
      <c r="I157" s="14"/>
      <c r="J157" s="14"/>
      <c r="K157" s="14"/>
      <c r="L157" s="13"/>
      <c r="M157" s="118"/>
      <c r="N157" s="238"/>
      <c r="O157" s="112"/>
      <c r="P157" s="13"/>
      <c r="Q157" s="118"/>
      <c r="R157" s="238"/>
      <c r="S157" s="112"/>
      <c r="T157" s="13"/>
      <c r="U157" s="67"/>
      <c r="V157" s="238"/>
      <c r="W157" s="230"/>
      <c r="X157" s="13"/>
      <c r="Y157" s="67"/>
      <c r="Z157" s="238"/>
      <c r="AA157" s="230"/>
      <c r="AB157" s="13"/>
      <c r="AC157" s="67"/>
      <c r="AD157" s="238"/>
      <c r="AE157" s="230"/>
    </row>
    <row r="158" spans="1:31" ht="12">
      <c r="A158" s="24" t="s">
        <v>209</v>
      </c>
      <c r="H158" s="18"/>
      <c r="I158" s="14"/>
      <c r="J158" s="14"/>
      <c r="K158" s="14"/>
      <c r="L158" s="13"/>
      <c r="M158" s="118"/>
      <c r="N158" s="238"/>
      <c r="O158" s="112"/>
      <c r="P158" s="13"/>
      <c r="Q158" s="118"/>
      <c r="R158" s="238"/>
      <c r="S158" s="112"/>
      <c r="T158" s="13"/>
      <c r="U158" s="67"/>
      <c r="V158" s="238"/>
      <c r="W158" s="230"/>
      <c r="X158" s="13"/>
      <c r="Y158" s="67"/>
      <c r="Z158" s="238"/>
      <c r="AA158" s="230"/>
      <c r="AB158" s="13"/>
      <c r="AC158" s="67"/>
      <c r="AD158" s="238"/>
      <c r="AE158" s="230"/>
    </row>
    <row r="159" spans="1:31" ht="11.25">
      <c r="A159" s="117"/>
      <c r="H159" s="18"/>
      <c r="I159" s="14"/>
      <c r="J159" s="14"/>
      <c r="K159" s="14"/>
      <c r="L159" s="13"/>
      <c r="M159" s="118"/>
      <c r="N159" s="238"/>
      <c r="O159" s="112"/>
      <c r="P159" s="13"/>
      <c r="Q159" s="118"/>
      <c r="R159" s="238"/>
      <c r="S159" s="112"/>
      <c r="T159" s="13"/>
      <c r="U159" s="67"/>
      <c r="V159" s="238"/>
      <c r="W159" s="230"/>
      <c r="X159" s="13"/>
      <c r="Y159" s="67"/>
      <c r="Z159" s="238"/>
      <c r="AA159" s="230"/>
      <c r="AB159" s="13"/>
      <c r="AC159" s="67"/>
      <c r="AD159" s="238"/>
      <c r="AE159" s="230"/>
    </row>
    <row r="160" spans="1:31" ht="11.25">
      <c r="A160" s="117" t="s">
        <v>73</v>
      </c>
      <c r="B160" s="10" t="str">
        <f>B8</f>
        <v>Mine Waste Pile Reclamation</v>
      </c>
      <c r="H160" s="18"/>
      <c r="I160" s="14"/>
      <c r="J160" s="14"/>
      <c r="K160" s="14"/>
      <c r="L160" s="13"/>
      <c r="N160" s="238"/>
      <c r="O160" s="59"/>
      <c r="P160" s="13"/>
      <c r="R160" s="238"/>
      <c r="S160" s="59"/>
      <c r="T160" s="13"/>
      <c r="U160" s="67"/>
      <c r="V160" s="238"/>
      <c r="W160" s="246"/>
      <c r="X160" s="13"/>
      <c r="Y160" s="67"/>
      <c r="Z160" s="238"/>
      <c r="AA160" s="246"/>
      <c r="AB160" s="13"/>
      <c r="AC160" s="67"/>
      <c r="AD160" s="238"/>
      <c r="AE160" s="246"/>
    </row>
    <row r="161" spans="1:31" ht="11.25">
      <c r="A161" s="117"/>
      <c r="C161" s="10" t="str">
        <f>B9</f>
        <v>Fish Creek Dump</v>
      </c>
      <c r="H161" s="18">
        <f>H30*(1+$N$151)</f>
        <v>101776.92</v>
      </c>
      <c r="I161" s="37">
        <f>I30*(1+N151)</f>
        <v>448300.44</v>
      </c>
      <c r="J161" s="37">
        <f>J30*(1+N151)</f>
        <v>12580.470000000001</v>
      </c>
      <c r="K161" s="38">
        <f>SUM(H161:J161)</f>
        <v>562657.83</v>
      </c>
      <c r="L161" s="41" t="str">
        <f>L30</f>
        <v>ac</v>
      </c>
      <c r="M161" s="42">
        <f>M30</f>
        <v>88</v>
      </c>
      <c r="N161" s="238">
        <f>O161/M161</f>
        <v>6393.838977272727</v>
      </c>
      <c r="O161" s="60">
        <f>K161</f>
        <v>562657.83</v>
      </c>
      <c r="P161" s="41" t="str">
        <f>P30</f>
        <v>ac</v>
      </c>
      <c r="Q161" s="42">
        <f>Q30</f>
        <v>88</v>
      </c>
      <c r="R161" s="238">
        <f>S161/Q161</f>
        <v>7259.170568181818</v>
      </c>
      <c r="S161" s="60">
        <f>S30*(1+$R$151)</f>
        <v>638807.01</v>
      </c>
      <c r="T161" s="13" t="str">
        <f>T30</f>
        <v>ac</v>
      </c>
      <c r="U161" s="67">
        <f>U30</f>
        <v>88</v>
      </c>
      <c r="V161" s="238">
        <f>W161/U161</f>
        <v>13540.907840909089</v>
      </c>
      <c r="W161" s="246">
        <f>W30*(1+$V$151)</f>
        <v>1191599.89</v>
      </c>
      <c r="X161" s="13" t="str">
        <f>X30</f>
        <v>ac</v>
      </c>
      <c r="Y161" s="67">
        <f>Y30</f>
        <v>88</v>
      </c>
      <c r="Z161" s="238">
        <f>AA161/Y161</f>
        <v>13540.907840909089</v>
      </c>
      <c r="AA161" s="246">
        <f>AA30*(1+$V$151)</f>
        <v>1191599.89</v>
      </c>
      <c r="AB161" s="13" t="str">
        <f>AB30</f>
        <v>ac</v>
      </c>
      <c r="AC161" s="67">
        <f>AC30</f>
        <v>88</v>
      </c>
      <c r="AD161" s="238">
        <f>AE161/AC161</f>
        <v>13540.907840909089</v>
      </c>
      <c r="AE161" s="246">
        <f>AE30*(1+$V$151)</f>
        <v>1191599.89</v>
      </c>
    </row>
    <row r="162" spans="1:31" ht="11.25">
      <c r="A162" s="117"/>
      <c r="B162" s="10" t="str">
        <f>B30</f>
        <v>Subtotal Waste Pile Reclamation</v>
      </c>
      <c r="H162" s="18">
        <f>H30*(1+N151)</f>
        <v>101776.92</v>
      </c>
      <c r="I162" s="37">
        <f>I30*(1+N151)</f>
        <v>448300.44</v>
      </c>
      <c r="J162" s="37">
        <f>J30*(1+N151)</f>
        <v>12580.470000000001</v>
      </c>
      <c r="K162" s="38">
        <f aca="true" t="shared" si="5" ref="K162:K175">SUM(H162:J162)</f>
        <v>562657.83</v>
      </c>
      <c r="L162" s="43" t="str">
        <f>L30</f>
        <v>ac</v>
      </c>
      <c r="M162" s="42">
        <f>M30</f>
        <v>88</v>
      </c>
      <c r="N162" s="238">
        <f aca="true" t="shared" si="6" ref="N162:N170">O162/M162</f>
        <v>6393.838977272727</v>
      </c>
      <c r="O162" s="246">
        <f aca="true" t="shared" si="7" ref="O162:O175">K162</f>
        <v>562657.83</v>
      </c>
      <c r="P162" s="37" t="str">
        <f>P30</f>
        <v>ac</v>
      </c>
      <c r="Q162" s="42">
        <f>Q30</f>
        <v>88</v>
      </c>
      <c r="R162" s="238">
        <f>S162/Q162</f>
        <v>7259.170568181818</v>
      </c>
      <c r="S162" s="37">
        <f>SUM(S161)</f>
        <v>638807.01</v>
      </c>
      <c r="T162" s="13" t="str">
        <f>T30</f>
        <v>ac</v>
      </c>
      <c r="U162" s="67">
        <f>U30</f>
        <v>88</v>
      </c>
      <c r="V162" s="238">
        <f>W162/U162</f>
        <v>13540.907840909089</v>
      </c>
      <c r="W162" s="246">
        <f>SUM(W161)</f>
        <v>1191599.89</v>
      </c>
      <c r="X162" s="13" t="str">
        <f>X30</f>
        <v>ac</v>
      </c>
      <c r="Y162" s="67">
        <f>Y30</f>
        <v>88</v>
      </c>
      <c r="Z162" s="238">
        <f>AA162/Y162</f>
        <v>13540.907840909089</v>
      </c>
      <c r="AA162" s="246">
        <f>SUM(AA161)</f>
        <v>1191599.89</v>
      </c>
      <c r="AB162" s="13" t="str">
        <f>AB30</f>
        <v>ac</v>
      </c>
      <c r="AC162" s="67">
        <f>AC30</f>
        <v>88</v>
      </c>
      <c r="AD162" s="238">
        <f>AE162/AC162</f>
        <v>13540.907840909089</v>
      </c>
      <c r="AE162" s="246">
        <f>SUM(AE161)</f>
        <v>1191599.89</v>
      </c>
    </row>
    <row r="163" spans="1:31" ht="11.25">
      <c r="A163" s="117" t="s">
        <v>74</v>
      </c>
      <c r="B163" s="10" t="str">
        <f>B32</f>
        <v>Tailing Impoundments Reclamation</v>
      </c>
      <c r="H163" s="18"/>
      <c r="I163" s="14"/>
      <c r="J163" s="14"/>
      <c r="K163" s="38"/>
      <c r="L163" s="119"/>
      <c r="M163" s="120"/>
      <c r="N163" s="238"/>
      <c r="O163" s="246"/>
      <c r="P163" s="119"/>
      <c r="Q163" s="120"/>
      <c r="R163" s="238"/>
      <c r="S163" s="60"/>
      <c r="T163" s="13"/>
      <c r="U163" s="67"/>
      <c r="V163" s="238"/>
      <c r="W163" s="246"/>
      <c r="X163" s="13"/>
      <c r="Y163" s="67"/>
      <c r="Z163" s="238"/>
      <c r="AA163" s="246"/>
      <c r="AB163" s="13"/>
      <c r="AC163" s="67"/>
      <c r="AD163" s="238"/>
      <c r="AE163" s="246"/>
    </row>
    <row r="164" spans="1:31" ht="11.25">
      <c r="A164" s="117"/>
      <c r="C164" s="10" t="str">
        <f>B33</f>
        <v>Tailing Impoundment </v>
      </c>
      <c r="G164" s="95"/>
      <c r="H164" s="37">
        <f>H52*(1+N151)</f>
        <v>464805.74000000005</v>
      </c>
      <c r="I164" s="37">
        <f>I52*(1+N151)</f>
        <v>2063939.2200000002</v>
      </c>
      <c r="J164" s="37">
        <f>J52*(1+N151)</f>
        <v>142723.63</v>
      </c>
      <c r="K164" s="38">
        <f t="shared" si="5"/>
        <v>2671468.5900000003</v>
      </c>
      <c r="L164" s="119" t="str">
        <f>L52</f>
        <v>ac</v>
      </c>
      <c r="M164" s="121">
        <f>M52</f>
        <v>1215</v>
      </c>
      <c r="N164" s="238">
        <f t="shared" si="6"/>
        <v>2198.7395802469136</v>
      </c>
      <c r="O164" s="246">
        <f t="shared" si="7"/>
        <v>2671468.5900000003</v>
      </c>
      <c r="P164" s="119" t="str">
        <f>P52</f>
        <v>ac</v>
      </c>
      <c r="Q164" s="121">
        <f>Q52</f>
        <v>1215</v>
      </c>
      <c r="R164" s="238">
        <f>S164/Q164</f>
        <v>2496.3133580246913</v>
      </c>
      <c r="S164" s="60">
        <f>S52*(1+$R$151)</f>
        <v>3033020.73</v>
      </c>
      <c r="T164" s="13" t="str">
        <f>T52</f>
        <v>ac</v>
      </c>
      <c r="U164" s="67">
        <f>U52</f>
        <v>1215</v>
      </c>
      <c r="V164" s="238">
        <f>W164/U164</f>
        <v>5091.727456790124</v>
      </c>
      <c r="W164" s="246">
        <f>W52*(1+$V$151)</f>
        <v>6186448.86</v>
      </c>
      <c r="X164" s="13" t="str">
        <f>X52</f>
        <v>ac</v>
      </c>
      <c r="Y164" s="67">
        <f>Y52</f>
        <v>1215</v>
      </c>
      <c r="Z164" s="238">
        <f>AA164/Y164</f>
        <v>5091.727456790124</v>
      </c>
      <c r="AA164" s="246">
        <f>AA52*(1+$V$151)</f>
        <v>6186448.86</v>
      </c>
      <c r="AB164" s="13" t="str">
        <f>AB52</f>
        <v>ac</v>
      </c>
      <c r="AC164" s="67">
        <f>AC52</f>
        <v>1215</v>
      </c>
      <c r="AD164" s="238">
        <f>AE164/AC164</f>
        <v>5091.727456790124</v>
      </c>
      <c r="AE164" s="246">
        <f>AE52*(1+$V$151)</f>
        <v>6186448.86</v>
      </c>
    </row>
    <row r="165" spans="1:31" ht="11.25">
      <c r="A165" s="117"/>
      <c r="C165" s="10" t="str">
        <f>B54</f>
        <v>Channel Sections 1 - 4</v>
      </c>
      <c r="G165" s="95"/>
      <c r="H165" s="37">
        <f>H73*(1+N151)</f>
        <v>123627.49</v>
      </c>
      <c r="I165" s="37">
        <f>I73*(1+N151)</f>
        <v>584977.89</v>
      </c>
      <c r="J165" s="37">
        <f>J73*(1+N151)</f>
        <v>0</v>
      </c>
      <c r="K165" s="38">
        <f t="shared" si="5"/>
        <v>708605.38</v>
      </c>
      <c r="L165" s="119" t="str">
        <f>L73</f>
        <v>ac</v>
      </c>
      <c r="M165" s="121">
        <f>M73</f>
        <v>49</v>
      </c>
      <c r="N165" s="238">
        <f t="shared" si="6"/>
        <v>14461.334285714285</v>
      </c>
      <c r="O165" s="246">
        <f t="shared" si="7"/>
        <v>708605.38</v>
      </c>
      <c r="P165" s="119" t="str">
        <f>P73</f>
        <v>ac</v>
      </c>
      <c r="Q165" s="121">
        <f>Q73</f>
        <v>49</v>
      </c>
      <c r="R165" s="238">
        <f>S165/Q165</f>
        <v>16418.507346938775</v>
      </c>
      <c r="S165" s="60">
        <f>S73*(1+$R$151)</f>
        <v>804506.86</v>
      </c>
      <c r="T165" s="13" t="str">
        <f>T73</f>
        <v>ac</v>
      </c>
      <c r="U165" s="67">
        <f>U73</f>
        <v>49</v>
      </c>
      <c r="V165" s="238">
        <f>W165/U165</f>
        <v>16418.507346938775</v>
      </c>
      <c r="W165" s="246">
        <f>W73*(1+$V$151)</f>
        <v>804506.86</v>
      </c>
      <c r="X165" s="13" t="str">
        <f>X73</f>
        <v>ac</v>
      </c>
      <c r="Y165" s="67">
        <f>Y73</f>
        <v>49</v>
      </c>
      <c r="Z165" s="238">
        <f>AA165/Y165</f>
        <v>16418.507346938775</v>
      </c>
      <c r="AA165" s="246">
        <f>AA73*(1+$V$151)</f>
        <v>804506.86</v>
      </c>
      <c r="AB165" s="13" t="str">
        <f>AB73</f>
        <v>ac</v>
      </c>
      <c r="AC165" s="67">
        <f>AC73</f>
        <v>49</v>
      </c>
      <c r="AD165" s="238">
        <f>AE165/AC165</f>
        <v>16418.507346938775</v>
      </c>
      <c r="AE165" s="246">
        <f>AE73*(1+$V$151)</f>
        <v>804506.86</v>
      </c>
    </row>
    <row r="166" spans="1:31" ht="11.25">
      <c r="A166" s="117"/>
      <c r="C166" s="10" t="str">
        <f>B75</f>
        <v>Post Spillway Tailing Channels 5 - 6</v>
      </c>
      <c r="G166" s="95"/>
      <c r="H166" s="37">
        <f>H94*(1+N151)</f>
        <v>126888.65000000001</v>
      </c>
      <c r="I166" s="37">
        <f>I94*(1+N151)</f>
        <v>383880.56</v>
      </c>
      <c r="J166" s="37">
        <f>J94*(1+N151)</f>
        <v>48656.72</v>
      </c>
      <c r="K166" s="38">
        <f t="shared" si="5"/>
        <v>559425.93</v>
      </c>
      <c r="L166" s="119" t="str">
        <f>L94</f>
        <v>ac</v>
      </c>
      <c r="M166" s="121">
        <f>M94</f>
        <v>7</v>
      </c>
      <c r="N166" s="238">
        <f t="shared" si="6"/>
        <v>79917.99</v>
      </c>
      <c r="O166" s="246">
        <f t="shared" si="7"/>
        <v>559425.93</v>
      </c>
      <c r="P166" s="119" t="str">
        <f>P94</f>
        <v>ac</v>
      </c>
      <c r="Q166" s="121">
        <f>Q94</f>
        <v>7</v>
      </c>
      <c r="R166" s="238">
        <f>S166/Q166</f>
        <v>90733.95857142856</v>
      </c>
      <c r="S166" s="60">
        <f>S94*(1+$R$151)</f>
        <v>635137.71</v>
      </c>
      <c r="T166" s="13" t="str">
        <f>T94</f>
        <v>ac</v>
      </c>
      <c r="U166" s="67">
        <f>U94</f>
        <v>7</v>
      </c>
      <c r="V166" s="238">
        <f>W166/U166</f>
        <v>90733.95857142856</v>
      </c>
      <c r="W166" s="246">
        <f>W94*(1+$V$151)</f>
        <v>635137.71</v>
      </c>
      <c r="X166" s="13" t="str">
        <f>X94</f>
        <v>ac</v>
      </c>
      <c r="Y166" s="67">
        <f>Y94</f>
        <v>7</v>
      </c>
      <c r="Z166" s="238">
        <f>AA166/Y166</f>
        <v>90733.95857142856</v>
      </c>
      <c r="AA166" s="246">
        <f>AA94*(1+$V$151)</f>
        <v>635137.71</v>
      </c>
      <c r="AB166" s="13" t="str">
        <f>AB94</f>
        <v>ac</v>
      </c>
      <c r="AC166" s="67">
        <f>AC94</f>
        <v>7</v>
      </c>
      <c r="AD166" s="238">
        <f>AE166/AC166</f>
        <v>90733.95857142856</v>
      </c>
      <c r="AE166" s="246">
        <f>AE94*(1+$V$151)</f>
        <v>635137.71</v>
      </c>
    </row>
    <row r="167" spans="1:31" ht="11.25">
      <c r="A167" s="117"/>
      <c r="C167" s="10" t="str">
        <f>B96</f>
        <v>Tailing Spillway Construction</v>
      </c>
      <c r="G167" s="95"/>
      <c r="H167" s="18">
        <f>H115*(1+N151)</f>
        <v>67714.29000000001</v>
      </c>
      <c r="I167" s="37">
        <f>I115*(1+N151)</f>
        <v>160468.49000000002</v>
      </c>
      <c r="J167" s="37">
        <f>J115*(1+N151)</f>
        <v>274384.32</v>
      </c>
      <c r="K167" s="38">
        <f t="shared" si="5"/>
        <v>502567.10000000003</v>
      </c>
      <c r="L167" s="119" t="s">
        <v>114</v>
      </c>
      <c r="M167" s="121">
        <f>M107</f>
        <v>14385</v>
      </c>
      <c r="N167" s="238">
        <f t="shared" si="6"/>
        <v>34.93688564476886</v>
      </c>
      <c r="O167" s="246">
        <f t="shared" si="7"/>
        <v>502567.10000000003</v>
      </c>
      <c r="P167" s="119" t="s">
        <v>114</v>
      </c>
      <c r="Q167" s="121">
        <f>Q107</f>
        <v>14385</v>
      </c>
      <c r="R167" s="238">
        <f>S167/Q167</f>
        <v>39.665185957594716</v>
      </c>
      <c r="S167" s="60">
        <f>S115*(1+$R$151)</f>
        <v>570583.7</v>
      </c>
      <c r="T167" s="13" t="s">
        <v>114</v>
      </c>
      <c r="U167" s="67">
        <f>U107</f>
        <v>14385</v>
      </c>
      <c r="V167" s="238">
        <f>W167/U167</f>
        <v>39.665185957594716</v>
      </c>
      <c r="W167" s="246">
        <f>W115*(1+$V$151)</f>
        <v>570583.7</v>
      </c>
      <c r="X167" s="13" t="s">
        <v>114</v>
      </c>
      <c r="Y167" s="67">
        <f>Y107</f>
        <v>14385</v>
      </c>
      <c r="Z167" s="238">
        <f>AA167/Y167</f>
        <v>39.665185957594716</v>
      </c>
      <c r="AA167" s="246">
        <f>AA115*(1+$V$151)</f>
        <v>570583.7</v>
      </c>
      <c r="AB167" s="13" t="s">
        <v>114</v>
      </c>
      <c r="AC167" s="67">
        <f>AC107</f>
        <v>14385</v>
      </c>
      <c r="AD167" s="238">
        <f>AE167/AC167</f>
        <v>39.665185957594716</v>
      </c>
      <c r="AE167" s="246">
        <f>AE115*(1+$V$151)</f>
        <v>570583.7</v>
      </c>
    </row>
    <row r="168" spans="1:31" ht="11.25">
      <c r="A168" s="117"/>
      <c r="C168" s="10" t="str">
        <f>B117</f>
        <v>Install stormwater controls </v>
      </c>
      <c r="G168" s="95"/>
      <c r="H168" s="18">
        <f>(SUM(H118:H119))*(1+$N$151)</f>
        <v>0</v>
      </c>
      <c r="I168" s="37">
        <f>(SUM(I118:I119))*(1+$N$151)</f>
        <v>0</v>
      </c>
      <c r="J168" s="37">
        <f>(SUM(J118:J119))*(1+$N$151)</f>
        <v>0</v>
      </c>
      <c r="K168" s="38">
        <f t="shared" si="5"/>
        <v>0</v>
      </c>
      <c r="L168" s="119"/>
      <c r="M168" s="121"/>
      <c r="N168" s="238"/>
      <c r="O168" s="246">
        <f t="shared" si="7"/>
        <v>0</v>
      </c>
      <c r="P168" s="119"/>
      <c r="Q168" s="121"/>
      <c r="R168" s="238"/>
      <c r="S168" s="37">
        <f>(SUM(S118:S119))*(1+$R$151)</f>
        <v>0</v>
      </c>
      <c r="T168" s="13"/>
      <c r="U168" s="67"/>
      <c r="V168" s="238"/>
      <c r="W168" s="246">
        <f>(SUM(W118:W119))*(1+$V$151)</f>
        <v>0</v>
      </c>
      <c r="X168" s="13"/>
      <c r="Y168" s="67"/>
      <c r="Z168" s="238"/>
      <c r="AA168" s="246">
        <f>(SUM(AA118:AA119))*(1+$V$151)</f>
        <v>0</v>
      </c>
      <c r="AB168" s="13"/>
      <c r="AC168" s="67"/>
      <c r="AD168" s="238"/>
      <c r="AE168" s="246">
        <f>(SUM(AE118:AE119))*(1+$V$151)</f>
        <v>0</v>
      </c>
    </row>
    <row r="169" spans="1:31" ht="11.25">
      <c r="A169" s="117"/>
      <c r="C169" s="10" t="str">
        <f>B120</f>
        <v>Install additional groundwater controls</v>
      </c>
      <c r="G169" s="95"/>
      <c r="H169" s="18">
        <f>H120*(1+$N$151)</f>
        <v>0</v>
      </c>
      <c r="I169" s="37">
        <f>I120*(1+$N$151)</f>
        <v>0</v>
      </c>
      <c r="J169" s="37">
        <f>J120*(1+$N$151)</f>
        <v>0</v>
      </c>
      <c r="K169" s="38">
        <f t="shared" si="5"/>
        <v>0</v>
      </c>
      <c r="L169" s="119"/>
      <c r="M169" s="121"/>
      <c r="N169" s="238"/>
      <c r="O169" s="246">
        <f t="shared" si="7"/>
        <v>0</v>
      </c>
      <c r="P169" s="119"/>
      <c r="Q169" s="121"/>
      <c r="R169" s="238"/>
      <c r="S169" s="60">
        <f>S120*(1+$R$151)</f>
        <v>0</v>
      </c>
      <c r="T169" s="13"/>
      <c r="U169" s="67"/>
      <c r="V169" s="238"/>
      <c r="W169" s="246">
        <f>W120*(1+$V$151)</f>
        <v>0</v>
      </c>
      <c r="X169" s="13"/>
      <c r="Y169" s="67"/>
      <c r="Z169" s="238"/>
      <c r="AA169" s="246">
        <f>AA120*(1+$V$151)</f>
        <v>0</v>
      </c>
      <c r="AB169" s="13"/>
      <c r="AC169" s="67"/>
      <c r="AD169" s="238"/>
      <c r="AE169" s="246">
        <f>AE120*(1+$V$151)</f>
        <v>0</v>
      </c>
    </row>
    <row r="170" spans="1:31" ht="11.25">
      <c r="A170" s="117"/>
      <c r="B170" s="10" t="str">
        <f>B121</f>
        <v>Subtotal Tailings Facility Reclamation</v>
      </c>
      <c r="G170" s="95"/>
      <c r="H170" s="18">
        <f>SUM(H164:H169)</f>
        <v>783036.1700000002</v>
      </c>
      <c r="I170" s="37">
        <f>SUM(I164:I169)</f>
        <v>3193266.1600000006</v>
      </c>
      <c r="J170" s="37">
        <f>SUM(J164:J169)</f>
        <v>465764.67000000004</v>
      </c>
      <c r="K170" s="38">
        <f t="shared" si="5"/>
        <v>4442067.000000001</v>
      </c>
      <c r="L170" s="119" t="str">
        <f>L121</f>
        <v>ac</v>
      </c>
      <c r="M170" s="121">
        <f>M121</f>
        <v>1271</v>
      </c>
      <c r="N170" s="238">
        <f t="shared" si="6"/>
        <v>3494.9386309992137</v>
      </c>
      <c r="O170" s="246">
        <f t="shared" si="7"/>
        <v>4442067.000000001</v>
      </c>
      <c r="P170" s="119" t="str">
        <f>P121</f>
        <v>ac</v>
      </c>
      <c r="Q170" s="121">
        <f>Q121</f>
        <v>1271</v>
      </c>
      <c r="R170" s="238">
        <f>S170/Q170</f>
        <v>3967.937844217152</v>
      </c>
      <c r="S170" s="60">
        <f>SUM(S164:S169)</f>
        <v>5043249</v>
      </c>
      <c r="T170" s="13" t="str">
        <f>T121</f>
        <v>ac</v>
      </c>
      <c r="U170" s="67">
        <f>U121</f>
        <v>1271</v>
      </c>
      <c r="V170" s="238">
        <f>W170/U170</f>
        <v>6448.998528717546</v>
      </c>
      <c r="W170" s="246">
        <f>SUM(W164:W169)</f>
        <v>8196677.130000001</v>
      </c>
      <c r="X170" s="13" t="str">
        <f>X121</f>
        <v>ac</v>
      </c>
      <c r="Y170" s="67">
        <f>Y121</f>
        <v>1271</v>
      </c>
      <c r="Z170" s="238">
        <f>AA170/Y170</f>
        <v>6448.998528717546</v>
      </c>
      <c r="AA170" s="246">
        <f>SUM(AA164:AA169)</f>
        <v>8196677.130000001</v>
      </c>
      <c r="AB170" s="13" t="str">
        <f>AB121</f>
        <v>ac</v>
      </c>
      <c r="AC170" s="67">
        <f>AC121</f>
        <v>1271</v>
      </c>
      <c r="AD170" s="238">
        <f>AE170/AC170</f>
        <v>6448.998528717546</v>
      </c>
      <c r="AE170" s="246">
        <f>SUM(AE164:AE169)</f>
        <v>8196677.130000001</v>
      </c>
    </row>
    <row r="171" spans="1:31" ht="11.25">
      <c r="A171" s="117" t="s">
        <v>76</v>
      </c>
      <c r="B171" s="10" t="str">
        <f>B123</f>
        <v>Miscellaneous</v>
      </c>
      <c r="H171" s="18"/>
      <c r="I171" s="14"/>
      <c r="J171" s="14"/>
      <c r="K171" s="38">
        <f t="shared" si="5"/>
        <v>0</v>
      </c>
      <c r="M171" s="67"/>
      <c r="N171" s="238"/>
      <c r="O171" s="246"/>
      <c r="Q171" s="67"/>
      <c r="R171" s="238"/>
      <c r="S171" s="60"/>
      <c r="T171" s="13"/>
      <c r="U171" s="67"/>
      <c r="V171" s="238"/>
      <c r="W171" s="246"/>
      <c r="X171" s="13"/>
      <c r="Y171" s="67"/>
      <c r="Z171" s="238"/>
      <c r="AA171" s="246"/>
      <c r="AB171" s="13"/>
      <c r="AC171" s="67"/>
      <c r="AD171" s="238"/>
      <c r="AE171" s="246"/>
    </row>
    <row r="172" spans="1:31" ht="11.25">
      <c r="A172" s="117"/>
      <c r="C172" s="10" t="str">
        <f>B124</f>
        <v>Detoxification/Disposal of Wastes</v>
      </c>
      <c r="H172" s="18">
        <f>H124*(1+N151)</f>
        <v>0</v>
      </c>
      <c r="I172" s="37">
        <f>I124*(1+N151)</f>
        <v>0</v>
      </c>
      <c r="J172" s="37">
        <f>J124*(1+N151)</f>
        <v>0</v>
      </c>
      <c r="K172" s="38">
        <f t="shared" si="5"/>
        <v>0</v>
      </c>
      <c r="L172" s="119"/>
      <c r="M172" s="118"/>
      <c r="N172" s="238"/>
      <c r="O172" s="246">
        <f t="shared" si="7"/>
        <v>0</v>
      </c>
      <c r="P172" s="119"/>
      <c r="Q172" s="118"/>
      <c r="R172" s="238"/>
      <c r="S172" s="60">
        <f>S124*(1+$R$151)</f>
        <v>0</v>
      </c>
      <c r="T172" s="13"/>
      <c r="U172" s="67"/>
      <c r="V172" s="238"/>
      <c r="W172" s="246">
        <f>W124*(1+$V$151)</f>
        <v>0</v>
      </c>
      <c r="X172" s="13"/>
      <c r="Y172" s="67"/>
      <c r="Z172" s="238"/>
      <c r="AA172" s="246">
        <f>AA124*(1+$V$151)</f>
        <v>0</v>
      </c>
      <c r="AB172" s="13"/>
      <c r="AC172" s="67"/>
      <c r="AD172" s="238"/>
      <c r="AE172" s="246">
        <f>AE124*(1+$V$151)</f>
        <v>0</v>
      </c>
    </row>
    <row r="173" spans="1:31" ht="11.25">
      <c r="A173" s="117"/>
      <c r="C173" s="10" t="str">
        <f>B126</f>
        <v>Public Safety</v>
      </c>
      <c r="H173" s="18">
        <f>H126*(1+N151)</f>
        <v>0</v>
      </c>
      <c r="I173" s="37">
        <f>I126*(1+N151)</f>
        <v>0</v>
      </c>
      <c r="J173" s="37">
        <f>J126*(1+N151)</f>
        <v>0</v>
      </c>
      <c r="K173" s="38">
        <f t="shared" si="5"/>
        <v>0</v>
      </c>
      <c r="L173" s="119"/>
      <c r="M173" s="118"/>
      <c r="N173" s="238"/>
      <c r="O173" s="246">
        <f t="shared" si="7"/>
        <v>0</v>
      </c>
      <c r="P173" s="119"/>
      <c r="Q173" s="118"/>
      <c r="R173" s="238"/>
      <c r="S173" s="60">
        <f>S126*(1+$R$151)</f>
        <v>0</v>
      </c>
      <c r="T173" s="13"/>
      <c r="U173" s="67"/>
      <c r="V173" s="238"/>
      <c r="W173" s="246">
        <f>W126*(1+$V$151)</f>
        <v>0</v>
      </c>
      <c r="X173" s="13"/>
      <c r="Y173" s="67"/>
      <c r="Z173" s="238"/>
      <c r="AA173" s="246">
        <f>AA126*(1+$V$151)</f>
        <v>0</v>
      </c>
      <c r="AB173" s="13"/>
      <c r="AC173" s="67"/>
      <c r="AD173" s="238"/>
      <c r="AE173" s="246">
        <f>AE126*(1+$V$151)</f>
        <v>0</v>
      </c>
    </row>
    <row r="174" spans="1:31" ht="11.25">
      <c r="A174" s="117"/>
      <c r="B174" s="10" t="str">
        <f>B128</f>
        <v>Subtotal Miscellaneous</v>
      </c>
      <c r="H174" s="18">
        <f>H128*(1+N151)</f>
        <v>0</v>
      </c>
      <c r="I174" s="37">
        <f>I128*(1+N151)</f>
        <v>0</v>
      </c>
      <c r="J174" s="37">
        <f>J128*(1+N151)</f>
        <v>0</v>
      </c>
      <c r="K174" s="38">
        <f t="shared" si="5"/>
        <v>0</v>
      </c>
      <c r="L174" s="119" t="s">
        <v>10</v>
      </c>
      <c r="M174" s="118">
        <f>M128</f>
        <v>0</v>
      </c>
      <c r="N174" s="238"/>
      <c r="O174" s="246">
        <f t="shared" si="7"/>
        <v>0</v>
      </c>
      <c r="P174" s="119" t="s">
        <v>10</v>
      </c>
      <c r="Q174" s="118">
        <f>Q128</f>
        <v>0</v>
      </c>
      <c r="R174" s="238"/>
      <c r="S174" s="60">
        <f>SUM(S172:S173)</f>
        <v>0</v>
      </c>
      <c r="T174" s="13" t="s">
        <v>10</v>
      </c>
      <c r="U174" s="67">
        <f>U128</f>
        <v>0</v>
      </c>
      <c r="V174" s="238"/>
      <c r="W174" s="246">
        <f>SUM(W172:W173)</f>
        <v>0</v>
      </c>
      <c r="X174" s="13" t="s">
        <v>10</v>
      </c>
      <c r="Y174" s="67">
        <f>Y128</f>
        <v>0</v>
      </c>
      <c r="Z174" s="238"/>
      <c r="AA174" s="246">
        <f>SUM(AA172:AA173)</f>
        <v>0</v>
      </c>
      <c r="AB174" s="13" t="s">
        <v>10</v>
      </c>
      <c r="AC174" s="67">
        <f>AC128</f>
        <v>0</v>
      </c>
      <c r="AD174" s="238"/>
      <c r="AE174" s="246">
        <f>SUM(AE172:AE173)</f>
        <v>0</v>
      </c>
    </row>
    <row r="175" spans="1:31" ht="11.25">
      <c r="A175" s="117" t="s">
        <v>77</v>
      </c>
      <c r="B175" s="10" t="str">
        <f>B130</f>
        <v>Water Treatment Capture, Pump, Treatment and Discharge</v>
      </c>
      <c r="H175" s="18">
        <f>H137*(1+N151)</f>
        <v>0</v>
      </c>
      <c r="I175" s="37">
        <f>I137*(1+N151)</f>
        <v>160605.48</v>
      </c>
      <c r="J175" s="37">
        <f>J137*(1+N151)</f>
        <v>0</v>
      </c>
      <c r="K175" s="38">
        <f t="shared" si="5"/>
        <v>160605.48</v>
      </c>
      <c r="L175" s="13"/>
      <c r="M175" s="118"/>
      <c r="N175" s="238"/>
      <c r="O175" s="60">
        <f t="shared" si="7"/>
        <v>160605.48</v>
      </c>
      <c r="P175" s="13"/>
      <c r="Q175" s="118"/>
      <c r="R175" s="238"/>
      <c r="S175" s="60">
        <f>S137*(1+$R$151)</f>
        <v>182341.56</v>
      </c>
      <c r="T175" s="13"/>
      <c r="U175" s="67"/>
      <c r="V175" s="238"/>
      <c r="W175" s="246">
        <f>W137*(1+$V$151)</f>
        <v>24820625</v>
      </c>
      <c r="X175" s="13"/>
      <c r="Y175" s="67"/>
      <c r="Z175" s="238"/>
      <c r="AA175" s="246">
        <f>AA137*(1+$V$151)</f>
        <v>24820625</v>
      </c>
      <c r="AB175" s="13"/>
      <c r="AC175" s="67"/>
      <c r="AD175" s="238"/>
      <c r="AE175" s="246">
        <f>AE137*(1+$V$151)</f>
        <v>24820625</v>
      </c>
    </row>
    <row r="176" spans="1:31" ht="11.25">
      <c r="A176" s="117"/>
      <c r="H176" s="18"/>
      <c r="I176" s="14"/>
      <c r="J176" s="14"/>
      <c r="K176" s="14"/>
      <c r="L176" s="13"/>
      <c r="M176" s="118"/>
      <c r="N176" s="238"/>
      <c r="O176" s="112"/>
      <c r="P176" s="13"/>
      <c r="Q176" s="118"/>
      <c r="R176" s="238"/>
      <c r="S176" s="112"/>
      <c r="T176" s="13"/>
      <c r="U176" s="67"/>
      <c r="V176" s="238"/>
      <c r="W176" s="246"/>
      <c r="X176" s="13"/>
      <c r="Y176" s="67"/>
      <c r="Z176" s="238"/>
      <c r="AA176" s="246"/>
      <c r="AB176" s="13"/>
      <c r="AC176" s="67"/>
      <c r="AD176" s="238"/>
      <c r="AE176" s="246"/>
    </row>
    <row r="177" spans="1:31" ht="12" thickBot="1">
      <c r="A177" s="122"/>
      <c r="B177" s="39" t="s">
        <v>242</v>
      </c>
      <c r="C177" s="123"/>
      <c r="D177" s="123"/>
      <c r="E177" s="123"/>
      <c r="F177" s="123"/>
      <c r="G177" s="123"/>
      <c r="H177" s="124"/>
      <c r="I177" s="125"/>
      <c r="J177" s="125"/>
      <c r="K177" s="125">
        <f>K162+K170+K174+K175</f>
        <v>5165330.310000001</v>
      </c>
      <c r="L177" s="126"/>
      <c r="M177" s="127"/>
      <c r="N177" s="319"/>
      <c r="O177" s="40">
        <f>O162+O170+O174+O175</f>
        <v>5165330.310000001</v>
      </c>
      <c r="P177" s="126"/>
      <c r="Q177" s="127"/>
      <c r="R177" s="319"/>
      <c r="S177" s="40">
        <f>S162+S170+S174+S175</f>
        <v>5864397.569999999</v>
      </c>
      <c r="T177" s="126"/>
      <c r="U177" s="247"/>
      <c r="V177" s="319"/>
      <c r="W177" s="248">
        <f>W162+W170+W174+W175</f>
        <v>34208902.02</v>
      </c>
      <c r="X177" s="126"/>
      <c r="Y177" s="247"/>
      <c r="Z177" s="319"/>
      <c r="AA177" s="248">
        <f>AA162+AA170+AA174+AA175</f>
        <v>34208902.02</v>
      </c>
      <c r="AB177" s="126"/>
      <c r="AC177" s="247"/>
      <c r="AD177" s="319"/>
      <c r="AE177" s="248">
        <f>AE162+AE170+AE174+AE175</f>
        <v>34208902.02</v>
      </c>
    </row>
    <row r="178" spans="1:30" s="22" customFormat="1" ht="11.25">
      <c r="A178" s="128"/>
      <c r="H178" s="37"/>
      <c r="I178" s="37"/>
      <c r="J178" s="37"/>
      <c r="K178" s="37"/>
      <c r="M178" s="129"/>
      <c r="N178" s="37"/>
      <c r="O178" s="59"/>
      <c r="R178" s="37"/>
      <c r="V178" s="37"/>
      <c r="Z178" s="37"/>
      <c r="AD178" s="37"/>
    </row>
    <row r="179" spans="1:30" s="22" customFormat="1" ht="11.25">
      <c r="A179" s="128"/>
      <c r="H179" s="37"/>
      <c r="I179" s="37"/>
      <c r="J179" s="37"/>
      <c r="K179" s="37"/>
      <c r="M179" s="129"/>
      <c r="N179" s="37"/>
      <c r="O179" s="59"/>
      <c r="R179" s="37"/>
      <c r="V179" s="37"/>
      <c r="Z179" s="37"/>
      <c r="AD179" s="37"/>
    </row>
    <row r="180" spans="1:30" s="22" customFormat="1" ht="11.25">
      <c r="A180" s="128"/>
      <c r="H180" s="37"/>
      <c r="I180" s="37"/>
      <c r="J180" s="37"/>
      <c r="K180" s="37"/>
      <c r="M180" s="129"/>
      <c r="N180" s="37"/>
      <c r="O180" s="59"/>
      <c r="R180" s="37"/>
      <c r="V180" s="37"/>
      <c r="Z180" s="37"/>
      <c r="AD180" s="37"/>
    </row>
    <row r="181" spans="1:30" s="22" customFormat="1" ht="11.25">
      <c r="A181" s="128"/>
      <c r="H181" s="37"/>
      <c r="I181" s="37"/>
      <c r="J181" s="37"/>
      <c r="K181" s="37"/>
      <c r="M181" s="129"/>
      <c r="N181" s="37"/>
      <c r="O181" s="59"/>
      <c r="R181" s="37"/>
      <c r="V181" s="37"/>
      <c r="Z181" s="37"/>
      <c r="AD181" s="37"/>
    </row>
    <row r="182" spans="1:30" s="22" customFormat="1" ht="11.25">
      <c r="A182" s="128"/>
      <c r="H182" s="37"/>
      <c r="I182" s="37"/>
      <c r="J182" s="37"/>
      <c r="K182" s="37"/>
      <c r="M182" s="129"/>
      <c r="N182" s="37"/>
      <c r="O182" s="59"/>
      <c r="R182" s="37"/>
      <c r="V182" s="37"/>
      <c r="Z182" s="37"/>
      <c r="AD182" s="37"/>
    </row>
    <row r="183" spans="1:30" s="22" customFormat="1" ht="11.25">
      <c r="A183" s="128"/>
      <c r="I183" s="37"/>
      <c r="J183" s="37"/>
      <c r="K183" s="37"/>
      <c r="M183" s="129"/>
      <c r="N183" s="37"/>
      <c r="O183" s="59"/>
      <c r="R183" s="37"/>
      <c r="V183" s="37"/>
      <c r="Z183" s="37"/>
      <c r="AD183" s="37"/>
    </row>
    <row r="184" spans="1:30" s="22" customFormat="1" ht="11.25">
      <c r="A184" s="128"/>
      <c r="H184" s="37"/>
      <c r="I184" s="37"/>
      <c r="J184" s="37"/>
      <c r="K184" s="37"/>
      <c r="M184" s="129"/>
      <c r="N184" s="37"/>
      <c r="O184" s="59"/>
      <c r="R184" s="37"/>
      <c r="V184" s="37"/>
      <c r="Z184" s="37"/>
      <c r="AD184" s="37"/>
    </row>
    <row r="185" spans="1:30" s="22" customFormat="1" ht="11.25">
      <c r="A185" s="128"/>
      <c r="H185" s="37"/>
      <c r="I185" s="37"/>
      <c r="J185" s="37"/>
      <c r="K185" s="37"/>
      <c r="M185" s="129"/>
      <c r="N185" s="37"/>
      <c r="O185" s="59"/>
      <c r="R185" s="37"/>
      <c r="V185" s="37"/>
      <c r="Z185" s="37"/>
      <c r="AD185" s="37"/>
    </row>
    <row r="186" spans="1:30" s="22" customFormat="1" ht="11.25">
      <c r="A186" s="128"/>
      <c r="H186" s="37"/>
      <c r="I186" s="37"/>
      <c r="J186" s="37"/>
      <c r="K186" s="37"/>
      <c r="M186" s="129"/>
      <c r="N186" s="37"/>
      <c r="O186" s="59"/>
      <c r="R186" s="37"/>
      <c r="V186" s="37"/>
      <c r="Z186" s="37"/>
      <c r="AD186" s="37"/>
    </row>
    <row r="187" spans="1:30" s="22" customFormat="1" ht="11.25">
      <c r="A187" s="128"/>
      <c r="H187" s="37"/>
      <c r="I187" s="37"/>
      <c r="J187" s="37"/>
      <c r="K187" s="37"/>
      <c r="M187" s="129"/>
      <c r="N187" s="37"/>
      <c r="O187" s="59"/>
      <c r="R187" s="37"/>
      <c r="V187" s="37"/>
      <c r="Z187" s="37"/>
      <c r="AD187" s="37"/>
    </row>
    <row r="188" spans="1:30" s="22" customFormat="1" ht="11.25">
      <c r="A188" s="128"/>
      <c r="H188" s="37"/>
      <c r="I188" s="37"/>
      <c r="J188" s="37"/>
      <c r="K188" s="37"/>
      <c r="M188" s="129"/>
      <c r="N188" s="37"/>
      <c r="O188" s="59"/>
      <c r="R188" s="37"/>
      <c r="V188" s="37"/>
      <c r="Z188" s="37"/>
      <c r="AD188" s="37"/>
    </row>
    <row r="189" spans="14:30" s="22" customFormat="1" ht="11.25">
      <c r="N189" s="37"/>
      <c r="R189" s="37"/>
      <c r="V189" s="37"/>
      <c r="Z189" s="37"/>
      <c r="AD189" s="37"/>
    </row>
    <row r="190" spans="14:30" s="22" customFormat="1" ht="11.25">
      <c r="N190" s="37"/>
      <c r="R190" s="37"/>
      <c r="V190" s="37"/>
      <c r="Z190" s="37"/>
      <c r="AD190" s="37"/>
    </row>
    <row r="191" spans="14:30" s="22" customFormat="1" ht="11.25">
      <c r="N191" s="37"/>
      <c r="R191" s="37"/>
      <c r="V191" s="37"/>
      <c r="Z191" s="37"/>
      <c r="AD191" s="37"/>
    </row>
    <row r="192" spans="14:30" s="22" customFormat="1" ht="11.25">
      <c r="N192" s="37"/>
      <c r="R192" s="37"/>
      <c r="V192" s="37"/>
      <c r="Z192" s="37"/>
      <c r="AD192" s="37"/>
    </row>
    <row r="193" spans="14:30" s="22" customFormat="1" ht="11.25">
      <c r="N193" s="37"/>
      <c r="R193" s="37"/>
      <c r="V193" s="37"/>
      <c r="Z193" s="37"/>
      <c r="AD193" s="37"/>
    </row>
    <row r="194" spans="14:30" s="22" customFormat="1" ht="11.25">
      <c r="N194" s="37"/>
      <c r="R194" s="37"/>
      <c r="V194" s="37"/>
      <c r="Z194" s="37"/>
      <c r="AD194" s="37"/>
    </row>
    <row r="195" spans="14:30" s="22" customFormat="1" ht="11.25">
      <c r="N195" s="37"/>
      <c r="R195" s="37"/>
      <c r="V195" s="37"/>
      <c r="Z195" s="37"/>
      <c r="AD195" s="37"/>
    </row>
    <row r="196" spans="14:30" s="22" customFormat="1" ht="11.25">
      <c r="N196" s="37"/>
      <c r="R196" s="37"/>
      <c r="V196" s="37"/>
      <c r="Z196" s="37"/>
      <c r="AD196" s="37"/>
    </row>
    <row r="197" spans="14:30" s="22" customFormat="1" ht="11.25">
      <c r="N197" s="37"/>
      <c r="R197" s="37"/>
      <c r="V197" s="37"/>
      <c r="Z197" s="37"/>
      <c r="AD197" s="37"/>
    </row>
    <row r="198" spans="14:30" s="22" customFormat="1" ht="11.25">
      <c r="N198" s="37"/>
      <c r="R198" s="37"/>
      <c r="V198" s="37"/>
      <c r="Z198" s="37"/>
      <c r="AD198" s="37"/>
    </row>
    <row r="199" spans="14:30" s="22" customFormat="1" ht="11.25">
      <c r="N199" s="37"/>
      <c r="R199" s="37"/>
      <c r="V199" s="37"/>
      <c r="Z199" s="37"/>
      <c r="AD199" s="37"/>
    </row>
    <row r="200" spans="14:30" s="22" customFormat="1" ht="11.25">
      <c r="N200" s="37"/>
      <c r="R200" s="37"/>
      <c r="V200" s="37"/>
      <c r="Z200" s="37"/>
      <c r="AD200" s="37"/>
    </row>
    <row r="201" spans="14:30" s="22" customFormat="1" ht="11.25">
      <c r="N201" s="37"/>
      <c r="R201" s="37"/>
      <c r="V201" s="37"/>
      <c r="Z201" s="37"/>
      <c r="AD201" s="37"/>
    </row>
    <row r="202" spans="14:30" s="22" customFormat="1" ht="11.25">
      <c r="N202" s="37"/>
      <c r="R202" s="37"/>
      <c r="V202" s="37"/>
      <c r="Z202" s="37"/>
      <c r="AD202" s="37"/>
    </row>
    <row r="203" spans="14:30" s="22" customFormat="1" ht="11.25">
      <c r="N203" s="37"/>
      <c r="R203" s="37"/>
      <c r="V203" s="37"/>
      <c r="Z203" s="37"/>
      <c r="AD203" s="37"/>
    </row>
    <row r="204" spans="14:30" s="22" customFormat="1" ht="11.25">
      <c r="N204" s="37"/>
      <c r="R204" s="37"/>
      <c r="V204" s="37"/>
      <c r="Z204" s="37"/>
      <c r="AD204" s="37"/>
    </row>
    <row r="205" spans="14:30" s="22" customFormat="1" ht="11.25">
      <c r="N205" s="37"/>
      <c r="R205" s="37"/>
      <c r="V205" s="37"/>
      <c r="Z205" s="37"/>
      <c r="AD205" s="37"/>
    </row>
    <row r="206" spans="14:30" s="22" customFormat="1" ht="11.25">
      <c r="N206" s="37"/>
      <c r="R206" s="37"/>
      <c r="V206" s="37"/>
      <c r="Z206" s="37"/>
      <c r="AD206" s="37"/>
    </row>
    <row r="207" spans="14:30" s="22" customFormat="1" ht="11.25">
      <c r="N207" s="37"/>
      <c r="R207" s="37"/>
      <c r="V207" s="37"/>
      <c r="Z207" s="37"/>
      <c r="AD207" s="37"/>
    </row>
    <row r="208" spans="14:30" s="22" customFormat="1" ht="11.25">
      <c r="N208" s="37"/>
      <c r="R208" s="37"/>
      <c r="V208" s="37"/>
      <c r="Z208" s="37"/>
      <c r="AD208" s="37"/>
    </row>
    <row r="209" spans="14:30" s="22" customFormat="1" ht="11.25">
      <c r="N209" s="37"/>
      <c r="R209" s="37"/>
      <c r="V209" s="37"/>
      <c r="Z209" s="37"/>
      <c r="AD209" s="37"/>
    </row>
    <row r="210" spans="14:30" s="22" customFormat="1" ht="11.25">
      <c r="N210" s="37"/>
      <c r="R210" s="37"/>
      <c r="V210" s="37"/>
      <c r="Z210" s="37"/>
      <c r="AD210" s="37"/>
    </row>
    <row r="211" spans="14:30" s="22" customFormat="1" ht="11.25">
      <c r="N211" s="37"/>
      <c r="R211" s="37"/>
      <c r="V211" s="37"/>
      <c r="Z211" s="37"/>
      <c r="AD211" s="37"/>
    </row>
    <row r="212" spans="14:30" s="22" customFormat="1" ht="11.25">
      <c r="N212" s="37"/>
      <c r="R212" s="37"/>
      <c r="V212" s="37"/>
      <c r="Z212" s="37"/>
      <c r="AD212" s="37"/>
    </row>
    <row r="213" spans="14:30" s="22" customFormat="1" ht="11.25">
      <c r="N213" s="37"/>
      <c r="R213" s="37"/>
      <c r="V213" s="37"/>
      <c r="Z213" s="37"/>
      <c r="AD213" s="37"/>
    </row>
    <row r="214" spans="14:30" s="22" customFormat="1" ht="11.25">
      <c r="N214" s="37"/>
      <c r="R214" s="37"/>
      <c r="V214" s="37"/>
      <c r="Z214" s="37"/>
      <c r="AD214" s="37"/>
    </row>
    <row r="215" spans="14:30" s="22" customFormat="1" ht="11.25">
      <c r="N215" s="37"/>
      <c r="R215" s="37"/>
      <c r="V215" s="37"/>
      <c r="Z215" s="37"/>
      <c r="AD215" s="37"/>
    </row>
    <row r="216" spans="14:30" s="22" customFormat="1" ht="11.25">
      <c r="N216" s="37"/>
      <c r="R216" s="37"/>
      <c r="V216" s="37"/>
      <c r="Z216" s="37"/>
      <c r="AD216" s="37"/>
    </row>
    <row r="217" spans="14:30" s="22" customFormat="1" ht="11.25">
      <c r="N217" s="37"/>
      <c r="R217" s="37"/>
      <c r="V217" s="37"/>
      <c r="Z217" s="37"/>
      <c r="AD217" s="37"/>
    </row>
    <row r="218" spans="14:30" s="22" customFormat="1" ht="11.25">
      <c r="N218" s="37"/>
      <c r="R218" s="37"/>
      <c r="V218" s="37"/>
      <c r="Z218" s="37"/>
      <c r="AD218" s="37"/>
    </row>
    <row r="219" spans="14:30" s="22" customFormat="1" ht="11.25">
      <c r="N219" s="37"/>
      <c r="R219" s="37"/>
      <c r="V219" s="37"/>
      <c r="Z219" s="37"/>
      <c r="AD219" s="37"/>
    </row>
    <row r="220" spans="14:30" s="22" customFormat="1" ht="11.25">
      <c r="N220" s="37"/>
      <c r="R220" s="37"/>
      <c r="V220" s="37"/>
      <c r="Z220" s="37"/>
      <c r="AD220" s="37"/>
    </row>
    <row r="221" spans="14:30" s="22" customFormat="1" ht="11.25">
      <c r="N221" s="37"/>
      <c r="R221" s="37"/>
      <c r="V221" s="37"/>
      <c r="Z221" s="37"/>
      <c r="AD221" s="37"/>
    </row>
    <row r="222" spans="14:30" s="22" customFormat="1" ht="11.25">
      <c r="N222" s="37"/>
      <c r="R222" s="37"/>
      <c r="V222" s="37"/>
      <c r="Z222" s="37"/>
      <c r="AD222" s="37"/>
    </row>
    <row r="223" spans="14:30" s="22" customFormat="1" ht="11.25">
      <c r="N223" s="37"/>
      <c r="R223" s="37"/>
      <c r="V223" s="37"/>
      <c r="Z223" s="37"/>
      <c r="AD223" s="37"/>
    </row>
    <row r="224" spans="14:30" s="22" customFormat="1" ht="11.25">
      <c r="N224" s="37"/>
      <c r="R224" s="37"/>
      <c r="V224" s="37"/>
      <c r="Z224" s="37"/>
      <c r="AD224" s="37"/>
    </row>
    <row r="225" spans="14:30" s="22" customFormat="1" ht="11.25">
      <c r="N225" s="37"/>
      <c r="R225" s="37"/>
      <c r="V225" s="37"/>
      <c r="Z225" s="37"/>
      <c r="AD225" s="37"/>
    </row>
    <row r="226" spans="14:30" s="22" customFormat="1" ht="11.25">
      <c r="N226" s="37"/>
      <c r="R226" s="37"/>
      <c r="V226" s="37"/>
      <c r="Z226" s="37"/>
      <c r="AD226" s="37"/>
    </row>
    <row r="227" spans="14:30" s="22" customFormat="1" ht="11.25">
      <c r="N227" s="37"/>
      <c r="R227" s="37"/>
      <c r="V227" s="37"/>
      <c r="Z227" s="37"/>
      <c r="AD227" s="37"/>
    </row>
    <row r="228" spans="14:30" s="22" customFormat="1" ht="11.25">
      <c r="N228" s="37"/>
      <c r="R228" s="37"/>
      <c r="V228" s="37"/>
      <c r="Z228" s="37"/>
      <c r="AD228" s="37"/>
    </row>
    <row r="229" spans="14:30" s="22" customFormat="1" ht="11.25">
      <c r="N229" s="37"/>
      <c r="R229" s="37"/>
      <c r="V229" s="37"/>
      <c r="Z229" s="37"/>
      <c r="AD229" s="37"/>
    </row>
    <row r="230" spans="14:30" s="22" customFormat="1" ht="11.25">
      <c r="N230" s="37"/>
      <c r="R230" s="37"/>
      <c r="V230" s="37"/>
      <c r="Z230" s="37"/>
      <c r="AD230" s="37"/>
    </row>
    <row r="231" spans="14:30" s="22" customFormat="1" ht="11.25">
      <c r="N231" s="37"/>
      <c r="R231" s="37"/>
      <c r="V231" s="37"/>
      <c r="Z231" s="37"/>
      <c r="AD231" s="37"/>
    </row>
    <row r="232" spans="14:30" s="22" customFormat="1" ht="11.25">
      <c r="N232" s="37"/>
      <c r="R232" s="37"/>
      <c r="V232" s="37"/>
      <c r="Z232" s="37"/>
      <c r="AD232" s="37"/>
    </row>
    <row r="233" spans="14:30" s="22" customFormat="1" ht="11.25">
      <c r="N233" s="37"/>
      <c r="R233" s="37"/>
      <c r="V233" s="37"/>
      <c r="Z233" s="37"/>
      <c r="AD233" s="37"/>
    </row>
    <row r="234" spans="14:30" s="22" customFormat="1" ht="11.25">
      <c r="N234" s="37"/>
      <c r="R234" s="37"/>
      <c r="V234" s="37"/>
      <c r="Z234" s="37"/>
      <c r="AD234" s="37"/>
    </row>
    <row r="235" spans="14:30" s="22" customFormat="1" ht="11.25">
      <c r="N235" s="37"/>
      <c r="R235" s="37"/>
      <c r="V235" s="37"/>
      <c r="Z235" s="37"/>
      <c r="AD235" s="37"/>
    </row>
    <row r="236" spans="14:30" s="22" customFormat="1" ht="11.25">
      <c r="N236" s="37"/>
      <c r="R236" s="37"/>
      <c r="V236" s="37"/>
      <c r="Z236" s="37"/>
      <c r="AD236" s="37"/>
    </row>
    <row r="237" spans="14:30" s="22" customFormat="1" ht="11.25">
      <c r="N237" s="37"/>
      <c r="R237" s="37"/>
      <c r="V237" s="37"/>
      <c r="Z237" s="37"/>
      <c r="AD237" s="37"/>
    </row>
    <row r="238" spans="14:30" s="22" customFormat="1" ht="11.25">
      <c r="N238" s="37"/>
      <c r="R238" s="37"/>
      <c r="V238" s="37"/>
      <c r="Z238" s="37"/>
      <c r="AD238" s="37"/>
    </row>
    <row r="239" spans="14:30" s="22" customFormat="1" ht="11.25">
      <c r="N239" s="37"/>
      <c r="R239" s="37"/>
      <c r="V239" s="37"/>
      <c r="Z239" s="37"/>
      <c r="AD239" s="37"/>
    </row>
    <row r="240" spans="14:30" s="22" customFormat="1" ht="11.25">
      <c r="N240" s="37"/>
      <c r="R240" s="37"/>
      <c r="V240" s="37"/>
      <c r="Z240" s="37"/>
      <c r="AD240" s="37"/>
    </row>
    <row r="241" spans="14:30" s="22" customFormat="1" ht="11.25">
      <c r="N241" s="37"/>
      <c r="R241" s="37"/>
      <c r="V241" s="37"/>
      <c r="Z241" s="37"/>
      <c r="AD241" s="37"/>
    </row>
    <row r="242" spans="14:30" s="22" customFormat="1" ht="11.25">
      <c r="N242" s="37"/>
      <c r="R242" s="37"/>
      <c r="V242" s="37"/>
      <c r="Z242" s="37"/>
      <c r="AD242" s="37"/>
    </row>
    <row r="243" spans="14:30" s="22" customFormat="1" ht="11.25">
      <c r="N243" s="37"/>
      <c r="R243" s="37"/>
      <c r="V243" s="37"/>
      <c r="Z243" s="37"/>
      <c r="AD243" s="37"/>
    </row>
    <row r="244" spans="14:30" s="22" customFormat="1" ht="11.25">
      <c r="N244" s="37"/>
      <c r="R244" s="37"/>
      <c r="V244" s="37"/>
      <c r="Z244" s="37"/>
      <c r="AD244" s="37"/>
    </row>
    <row r="245" spans="14:30" s="22" customFormat="1" ht="11.25">
      <c r="N245" s="37"/>
      <c r="R245" s="37"/>
      <c r="V245" s="37"/>
      <c r="Z245" s="37"/>
      <c r="AD245" s="37"/>
    </row>
    <row r="246" spans="14:30" s="22" customFormat="1" ht="11.25">
      <c r="N246" s="37"/>
      <c r="R246" s="37"/>
      <c r="V246" s="37"/>
      <c r="Z246" s="37"/>
      <c r="AD246" s="37"/>
    </row>
    <row r="247" spans="14:30" s="22" customFormat="1" ht="11.25">
      <c r="N247" s="37"/>
      <c r="R247" s="37"/>
      <c r="V247" s="37"/>
      <c r="Z247" s="37"/>
      <c r="AD247" s="37"/>
    </row>
    <row r="248" spans="14:30" s="22" customFormat="1" ht="11.25">
      <c r="N248" s="37"/>
      <c r="R248" s="37"/>
      <c r="V248" s="37"/>
      <c r="Z248" s="37"/>
      <c r="AD248" s="37"/>
    </row>
  </sheetData>
  <mergeCells count="6">
    <mergeCell ref="X5:AA5"/>
    <mergeCell ref="AB5:AE5"/>
    <mergeCell ref="C5:D6"/>
    <mergeCell ref="H5:O5"/>
    <mergeCell ref="P5:S5"/>
    <mergeCell ref="T5:W5"/>
  </mergeCells>
  <printOptions/>
  <pageMargins left="0.75" right="0.75" top="1" bottom="1" header="0.5" footer="0.5"/>
  <pageSetup fitToHeight="0" fitToWidth="1" horizontalDpi="1200" verticalDpi="1200" orientation="landscape" scale="36" r:id="rId3"/>
  <headerFooter alignWithMargins="0">
    <oddFooter>&amp;L&amp;"Braggadocio,Regular"CSP&amp;X2&amp;RPage &amp;P of &amp;N</oddFooter>
  </headerFooter>
  <rowBreaks count="2" manualBreakCount="2">
    <brk id="94" max="31" man="1"/>
    <brk id="156" max="31" man="1"/>
  </rowBreaks>
  <ignoredErrors>
    <ignoredError sqref="N30 N20 N27:O27" formula="1"/>
    <ignoredError sqref="A118:A11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2"/>
  <sheetViews>
    <sheetView zoomScale="70" zoomScaleNormal="70"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8.83203125" style="10" customWidth="1"/>
    <col min="3" max="5" width="9.33203125" style="10" customWidth="1"/>
    <col min="6" max="6" width="20.83203125" style="10" customWidth="1"/>
    <col min="7" max="7" width="5.66015625" style="10" customWidth="1"/>
    <col min="8" max="8" width="28.33203125" style="22" customWidth="1"/>
    <col min="9" max="9" width="24.83203125" style="22" customWidth="1"/>
    <col min="10" max="10" width="31.66015625" style="22" customWidth="1"/>
    <col min="11" max="12" width="24.83203125" style="22" customWidth="1"/>
    <col min="13" max="13" width="33.5" style="10" customWidth="1"/>
    <col min="14" max="19" width="9.33203125" style="10" customWidth="1"/>
    <col min="20" max="20" width="32.66015625" style="10" customWidth="1"/>
    <col min="21" max="16384" width="9.33203125" style="10" customWidth="1"/>
  </cols>
  <sheetData>
    <row r="1" spans="1:13" ht="12">
      <c r="A1" s="130" t="s">
        <v>0</v>
      </c>
      <c r="B1" s="131"/>
      <c r="C1" s="131"/>
      <c r="D1" s="131"/>
      <c r="E1" s="131"/>
      <c r="F1" s="131"/>
      <c r="G1" s="131"/>
      <c r="H1" s="130"/>
      <c r="I1" s="130"/>
      <c r="J1" s="130"/>
      <c r="K1" s="130"/>
      <c r="L1" s="130"/>
      <c r="M1" s="131"/>
    </row>
    <row r="2" spans="1:6" ht="12">
      <c r="A2" s="30" t="s">
        <v>106</v>
      </c>
      <c r="B2" s="8"/>
      <c r="C2" s="8"/>
      <c r="D2" s="8"/>
      <c r="E2" s="8"/>
      <c r="F2" s="8"/>
    </row>
    <row r="3" ht="12">
      <c r="A3" s="22"/>
    </row>
    <row r="4" ht="12.75" thickBot="1">
      <c r="A4" s="92"/>
    </row>
    <row r="5" spans="1:16" ht="12">
      <c r="A5" s="135"/>
      <c r="B5" s="66"/>
      <c r="C5" s="340" t="s">
        <v>1</v>
      </c>
      <c r="D5" s="340"/>
      <c r="E5" s="66"/>
      <c r="F5" s="66"/>
      <c r="G5" s="136"/>
      <c r="H5" s="341" t="s">
        <v>107</v>
      </c>
      <c r="I5" s="342" t="s">
        <v>218</v>
      </c>
      <c r="J5" s="342" t="s">
        <v>247</v>
      </c>
      <c r="K5" s="338" t="s">
        <v>246</v>
      </c>
      <c r="L5" s="338" t="s">
        <v>245</v>
      </c>
      <c r="M5" s="31"/>
      <c r="N5" s="22"/>
      <c r="O5" s="22"/>
      <c r="P5" s="22"/>
    </row>
    <row r="6" spans="1:16" ht="12">
      <c r="A6" s="2" t="s">
        <v>2</v>
      </c>
      <c r="B6" s="3"/>
      <c r="C6" s="334"/>
      <c r="D6" s="334"/>
      <c r="E6" s="3"/>
      <c r="F6" s="3"/>
      <c r="G6" s="33"/>
      <c r="H6" s="339"/>
      <c r="I6" s="339"/>
      <c r="J6" s="339"/>
      <c r="K6" s="339"/>
      <c r="L6" s="339"/>
      <c r="M6" s="31"/>
      <c r="N6" s="30"/>
      <c r="O6" s="30"/>
      <c r="P6" s="30"/>
    </row>
    <row r="7" spans="1:16" ht="60">
      <c r="A7" s="67"/>
      <c r="G7" s="107"/>
      <c r="H7" s="137"/>
      <c r="I7" s="205" t="s">
        <v>259</v>
      </c>
      <c r="J7" s="254" t="s">
        <v>260</v>
      </c>
      <c r="K7" s="254" t="s">
        <v>261</v>
      </c>
      <c r="L7" s="254" t="s">
        <v>262</v>
      </c>
      <c r="M7" s="22"/>
      <c r="N7" s="22"/>
      <c r="O7" s="22"/>
      <c r="P7" s="22"/>
    </row>
    <row r="8" spans="1:16" ht="12">
      <c r="A8" s="117">
        <v>1</v>
      </c>
      <c r="B8" s="8" t="s">
        <v>22</v>
      </c>
      <c r="C8" s="8"/>
      <c r="D8" s="8"/>
      <c r="G8" s="107"/>
      <c r="H8" s="138"/>
      <c r="I8" s="171"/>
      <c r="J8" s="171"/>
      <c r="K8" s="171"/>
      <c r="L8" s="171"/>
      <c r="M8" s="30"/>
      <c r="N8" s="22"/>
      <c r="O8" s="22"/>
      <c r="P8" s="22"/>
    </row>
    <row r="9" spans="1:16" ht="24">
      <c r="A9" s="117" t="s">
        <v>147</v>
      </c>
      <c r="B9" s="10" t="s">
        <v>119</v>
      </c>
      <c r="D9" s="8"/>
      <c r="G9" s="107"/>
      <c r="H9" s="158" t="s">
        <v>118</v>
      </c>
      <c r="I9" s="171"/>
      <c r="J9" s="171"/>
      <c r="K9" s="171"/>
      <c r="L9" s="171"/>
      <c r="M9" s="30"/>
      <c r="N9" s="22"/>
      <c r="O9" s="22"/>
      <c r="P9" s="22"/>
    </row>
    <row r="10" spans="1:16" ht="12">
      <c r="A10" s="117"/>
      <c r="C10" s="10" t="s">
        <v>11</v>
      </c>
      <c r="G10" s="107"/>
      <c r="H10" s="138"/>
      <c r="I10" s="171"/>
      <c r="J10" s="171"/>
      <c r="K10" s="171"/>
      <c r="L10" s="171"/>
      <c r="M10" s="22"/>
      <c r="N10" s="22"/>
      <c r="O10" s="22"/>
      <c r="P10" s="22"/>
    </row>
    <row r="11" spans="1:16" ht="84">
      <c r="A11" s="117" t="s">
        <v>148</v>
      </c>
      <c r="D11" s="10" t="s">
        <v>12</v>
      </c>
      <c r="G11" s="107"/>
      <c r="H11" s="158" t="s">
        <v>121</v>
      </c>
      <c r="I11" s="171"/>
      <c r="J11" s="226" t="s">
        <v>248</v>
      </c>
      <c r="K11" s="171"/>
      <c r="L11" s="171"/>
      <c r="M11" s="22"/>
      <c r="N11" s="22"/>
      <c r="O11" s="22"/>
      <c r="P11" s="22"/>
    </row>
    <row r="12" spans="1:16" ht="12">
      <c r="A12" s="117" t="s">
        <v>149</v>
      </c>
      <c r="D12" s="10" t="s">
        <v>13</v>
      </c>
      <c r="G12" s="107"/>
      <c r="H12" s="138"/>
      <c r="I12" s="171"/>
      <c r="J12" s="171"/>
      <c r="K12" s="171"/>
      <c r="L12" s="171"/>
      <c r="M12" s="22"/>
      <c r="N12" s="22"/>
      <c r="O12" s="22"/>
      <c r="P12" s="22"/>
    </row>
    <row r="13" spans="1:16" ht="12">
      <c r="A13" s="117" t="s">
        <v>150</v>
      </c>
      <c r="D13" s="10" t="s">
        <v>14</v>
      </c>
      <c r="G13" s="107"/>
      <c r="H13" s="138"/>
      <c r="I13" s="171"/>
      <c r="J13" s="171"/>
      <c r="K13" s="171"/>
      <c r="L13" s="171"/>
      <c r="M13" s="22"/>
      <c r="N13" s="22"/>
      <c r="O13" s="22"/>
      <c r="P13" s="22"/>
    </row>
    <row r="14" spans="1:16" ht="12">
      <c r="A14" s="117" t="s">
        <v>151</v>
      </c>
      <c r="D14" s="10" t="s">
        <v>15</v>
      </c>
      <c r="G14" s="107"/>
      <c r="H14" s="138"/>
      <c r="I14" s="171"/>
      <c r="J14" s="171"/>
      <c r="K14" s="171"/>
      <c r="L14" s="171"/>
      <c r="M14" s="22"/>
      <c r="N14" s="22"/>
      <c r="O14" s="22"/>
      <c r="P14" s="22"/>
    </row>
    <row r="15" spans="1:16" ht="12">
      <c r="A15" s="117"/>
      <c r="C15" s="10" t="s">
        <v>16</v>
      </c>
      <c r="G15" s="107"/>
      <c r="H15" s="138"/>
      <c r="I15" s="171"/>
      <c r="J15" s="171"/>
      <c r="K15" s="171"/>
      <c r="L15" s="171"/>
      <c r="M15" s="22"/>
      <c r="N15" s="22"/>
      <c r="O15" s="22"/>
      <c r="P15" s="22"/>
    </row>
    <row r="16" spans="1:16" ht="84">
      <c r="A16" s="117" t="s">
        <v>152</v>
      </c>
      <c r="D16" s="10" t="s">
        <v>12</v>
      </c>
      <c r="G16" s="107"/>
      <c r="H16" s="158" t="s">
        <v>121</v>
      </c>
      <c r="I16" s="171"/>
      <c r="J16" s="226" t="s">
        <v>248</v>
      </c>
      <c r="K16" s="171"/>
      <c r="L16" s="171"/>
      <c r="M16" s="22"/>
      <c r="N16" s="22"/>
      <c r="O16" s="22"/>
      <c r="P16" s="22"/>
    </row>
    <row r="17" spans="1:16" ht="12">
      <c r="A17" s="117" t="s">
        <v>153</v>
      </c>
      <c r="D17" s="10" t="s">
        <v>13</v>
      </c>
      <c r="G17" s="107"/>
      <c r="H17" s="138"/>
      <c r="I17" s="171"/>
      <c r="J17" s="171"/>
      <c r="K17" s="171"/>
      <c r="L17" s="171"/>
      <c r="M17" s="22"/>
      <c r="N17" s="22"/>
      <c r="O17" s="22"/>
      <c r="P17" s="22"/>
    </row>
    <row r="18" spans="1:16" ht="12">
      <c r="A18" s="117" t="s">
        <v>154</v>
      </c>
      <c r="D18" s="10" t="s">
        <v>14</v>
      </c>
      <c r="G18" s="107"/>
      <c r="H18" s="138"/>
      <c r="I18" s="171"/>
      <c r="J18" s="171"/>
      <c r="K18" s="171"/>
      <c r="L18" s="171"/>
      <c r="M18" s="22"/>
      <c r="N18" s="22"/>
      <c r="O18" s="22"/>
      <c r="P18" s="22"/>
    </row>
    <row r="19" spans="1:16" ht="12">
      <c r="A19" s="117" t="s">
        <v>155</v>
      </c>
      <c r="D19" s="10" t="s">
        <v>15</v>
      </c>
      <c r="G19" s="107"/>
      <c r="H19" s="138"/>
      <c r="I19" s="171"/>
      <c r="J19" s="171"/>
      <c r="K19" s="171"/>
      <c r="L19" s="171"/>
      <c r="M19" s="22"/>
      <c r="N19" s="22"/>
      <c r="O19" s="22"/>
      <c r="P19" s="22"/>
    </row>
    <row r="20" spans="1:16" ht="12">
      <c r="A20" s="117"/>
      <c r="C20" s="10" t="s">
        <v>17</v>
      </c>
      <c r="G20" s="107"/>
      <c r="H20" s="138"/>
      <c r="I20" s="171"/>
      <c r="J20" s="171"/>
      <c r="K20" s="171"/>
      <c r="L20" s="171"/>
      <c r="M20" s="22"/>
      <c r="N20" s="22"/>
      <c r="O20" s="22"/>
      <c r="P20" s="22"/>
    </row>
    <row r="21" spans="1:16" ht="12">
      <c r="A21" s="117"/>
      <c r="C21" s="10" t="s">
        <v>11</v>
      </c>
      <c r="G21" s="107"/>
      <c r="H21" s="138"/>
      <c r="I21" s="171"/>
      <c r="J21" s="171"/>
      <c r="K21" s="171"/>
      <c r="L21" s="171"/>
      <c r="M21" s="22"/>
      <c r="N21" s="22"/>
      <c r="O21" s="22"/>
      <c r="P21" s="22"/>
    </row>
    <row r="22" spans="1:16" ht="12">
      <c r="A22" s="117" t="s">
        <v>156</v>
      </c>
      <c r="D22" s="10" t="s">
        <v>18</v>
      </c>
      <c r="G22" s="107"/>
      <c r="H22" s="138"/>
      <c r="I22" s="171"/>
      <c r="J22" s="171"/>
      <c r="K22" s="171"/>
      <c r="L22" s="171"/>
      <c r="M22" s="22"/>
      <c r="N22" s="22"/>
      <c r="O22" s="22"/>
      <c r="P22" s="22"/>
    </row>
    <row r="23" spans="1:16" ht="36">
      <c r="A23" s="117" t="s">
        <v>157</v>
      </c>
      <c r="D23" s="10" t="s">
        <v>19</v>
      </c>
      <c r="G23" s="107"/>
      <c r="H23" s="158" t="s">
        <v>122</v>
      </c>
      <c r="I23" s="171"/>
      <c r="J23" s="226" t="s">
        <v>249</v>
      </c>
      <c r="K23" s="171"/>
      <c r="L23" s="171"/>
      <c r="M23" s="22"/>
      <c r="N23" s="22"/>
      <c r="O23" s="22"/>
      <c r="P23" s="22"/>
    </row>
    <row r="24" spans="1:16" ht="12">
      <c r="A24" s="117"/>
      <c r="C24" s="10" t="s">
        <v>16</v>
      </c>
      <c r="G24" s="107"/>
      <c r="H24" s="138"/>
      <c r="I24" s="171"/>
      <c r="J24" s="226"/>
      <c r="K24" s="171"/>
      <c r="L24" s="171"/>
      <c r="M24" s="22"/>
      <c r="N24" s="22"/>
      <c r="O24" s="22"/>
      <c r="P24" s="22"/>
    </row>
    <row r="25" spans="1:16" ht="12">
      <c r="A25" s="117" t="s">
        <v>158</v>
      </c>
      <c r="D25" s="10" t="s">
        <v>18</v>
      </c>
      <c r="G25" s="107"/>
      <c r="H25" s="138"/>
      <c r="I25" s="171"/>
      <c r="J25" s="226"/>
      <c r="K25" s="171"/>
      <c r="L25" s="171"/>
      <c r="M25" s="22"/>
      <c r="N25" s="22"/>
      <c r="O25" s="22"/>
      <c r="P25" s="22"/>
    </row>
    <row r="26" spans="1:16" ht="36">
      <c r="A26" s="117" t="s">
        <v>159</v>
      </c>
      <c r="D26" s="10" t="s">
        <v>20</v>
      </c>
      <c r="G26" s="107"/>
      <c r="H26" s="158" t="s">
        <v>122</v>
      </c>
      <c r="I26" s="171"/>
      <c r="J26" s="226" t="s">
        <v>250</v>
      </c>
      <c r="K26" s="171"/>
      <c r="L26" s="171"/>
      <c r="M26" s="22"/>
      <c r="N26" s="22"/>
      <c r="O26" s="22"/>
      <c r="P26" s="22"/>
    </row>
    <row r="27" spans="1:16" ht="12">
      <c r="A27" s="117"/>
      <c r="C27" s="10" t="s">
        <v>21</v>
      </c>
      <c r="G27" s="107"/>
      <c r="H27" s="138"/>
      <c r="I27" s="171"/>
      <c r="J27" s="171"/>
      <c r="K27" s="171"/>
      <c r="L27" s="171"/>
      <c r="M27" s="22"/>
      <c r="N27" s="22"/>
      <c r="O27" s="22"/>
      <c r="P27" s="22"/>
    </row>
    <row r="28" spans="1:16" ht="12">
      <c r="A28" s="117"/>
      <c r="B28" s="10" t="s">
        <v>120</v>
      </c>
      <c r="G28" s="107"/>
      <c r="H28" s="138"/>
      <c r="I28" s="171"/>
      <c r="J28" s="171"/>
      <c r="K28" s="171"/>
      <c r="L28" s="171"/>
      <c r="M28" s="22"/>
      <c r="N28" s="22"/>
      <c r="O28" s="22"/>
      <c r="P28" s="22"/>
    </row>
    <row r="29" spans="1:16" ht="12.75" thickBot="1">
      <c r="A29" s="117"/>
      <c r="C29" s="8"/>
      <c r="D29" s="8"/>
      <c r="G29" s="107"/>
      <c r="H29" s="138"/>
      <c r="I29" s="171"/>
      <c r="J29" s="227"/>
      <c r="K29" s="227"/>
      <c r="L29" s="227"/>
      <c r="M29" s="30"/>
      <c r="N29" s="22"/>
      <c r="O29" s="22"/>
      <c r="P29" s="22"/>
    </row>
    <row r="30" spans="1:16" ht="12.75" thickTop="1">
      <c r="A30" s="139"/>
      <c r="B30" s="80" t="s">
        <v>41</v>
      </c>
      <c r="C30" s="80"/>
      <c r="D30" s="80"/>
      <c r="E30" s="80"/>
      <c r="F30" s="80"/>
      <c r="G30" s="140"/>
      <c r="H30" s="141"/>
      <c r="I30" s="173"/>
      <c r="J30" s="171"/>
      <c r="K30" s="171"/>
      <c r="L30" s="171"/>
      <c r="M30" s="22"/>
      <c r="N30" s="22"/>
      <c r="O30" s="22"/>
      <c r="P30" s="22"/>
    </row>
    <row r="31" spans="1:16" ht="12">
      <c r="A31" s="117"/>
      <c r="G31" s="107"/>
      <c r="H31" s="138"/>
      <c r="I31" s="212"/>
      <c r="J31" s="212"/>
      <c r="K31" s="212"/>
      <c r="L31" s="212"/>
      <c r="M31" s="22"/>
      <c r="N31" s="22"/>
      <c r="O31" s="22"/>
      <c r="P31" s="22"/>
    </row>
    <row r="32" spans="1:16" ht="12">
      <c r="A32" s="117">
        <v>2</v>
      </c>
      <c r="B32" s="8" t="s">
        <v>42</v>
      </c>
      <c r="C32" s="8"/>
      <c r="D32" s="8"/>
      <c r="E32" s="8"/>
      <c r="F32" s="8"/>
      <c r="G32" s="107"/>
      <c r="H32" s="138"/>
      <c r="I32" s="171"/>
      <c r="J32" s="171"/>
      <c r="K32" s="171"/>
      <c r="L32" s="171"/>
      <c r="M32" s="30"/>
      <c r="N32" s="30"/>
      <c r="O32" s="30"/>
      <c r="P32" s="22"/>
    </row>
    <row r="33" spans="1:15" ht="24">
      <c r="A33" s="117" t="s">
        <v>23</v>
      </c>
      <c r="B33" s="10" t="s">
        <v>108</v>
      </c>
      <c r="D33" s="8"/>
      <c r="E33" s="8"/>
      <c r="F33" s="8"/>
      <c r="G33" s="107"/>
      <c r="H33" s="158" t="s">
        <v>112</v>
      </c>
      <c r="I33" s="171"/>
      <c r="J33" s="171"/>
      <c r="K33" s="171"/>
      <c r="L33" s="171"/>
      <c r="M33" s="30"/>
      <c r="N33" s="8"/>
      <c r="O33" s="8"/>
    </row>
    <row r="34" spans="1:13" ht="12">
      <c r="A34" s="117" t="s">
        <v>24</v>
      </c>
      <c r="C34" s="10" t="s">
        <v>11</v>
      </c>
      <c r="G34" s="107"/>
      <c r="H34" s="138"/>
      <c r="I34" s="171"/>
      <c r="J34" s="171"/>
      <c r="K34" s="171"/>
      <c r="L34" s="171"/>
      <c r="M34" s="22"/>
    </row>
    <row r="35" spans="1:13" ht="12">
      <c r="A35" s="117" t="s">
        <v>25</v>
      </c>
      <c r="D35" s="10" t="s">
        <v>12</v>
      </c>
      <c r="G35" s="107"/>
      <c r="H35" s="138"/>
      <c r="I35" s="171"/>
      <c r="J35" s="171"/>
      <c r="K35" s="171"/>
      <c r="L35" s="171"/>
      <c r="M35" s="22"/>
    </row>
    <row r="36" spans="1:13" ht="12">
      <c r="A36" s="117" t="s">
        <v>26</v>
      </c>
      <c r="D36" s="10" t="s">
        <v>13</v>
      </c>
      <c r="G36" s="107"/>
      <c r="H36" s="138"/>
      <c r="I36" s="171"/>
      <c r="J36" s="171"/>
      <c r="K36" s="171"/>
      <c r="L36" s="171"/>
      <c r="M36" s="22"/>
    </row>
    <row r="37" spans="1:13" ht="12">
      <c r="A37" s="117"/>
      <c r="D37" s="10" t="s">
        <v>14</v>
      </c>
      <c r="G37" s="107"/>
      <c r="H37" s="138"/>
      <c r="I37" s="171"/>
      <c r="J37" s="171"/>
      <c r="K37" s="171"/>
      <c r="L37" s="171"/>
      <c r="M37" s="22"/>
    </row>
    <row r="38" spans="1:13" ht="12">
      <c r="A38" s="117" t="s">
        <v>27</v>
      </c>
      <c r="D38" s="10" t="s">
        <v>15</v>
      </c>
      <c r="G38" s="107"/>
      <c r="H38" s="138"/>
      <c r="I38" s="171"/>
      <c r="J38" s="171"/>
      <c r="K38" s="171"/>
      <c r="L38" s="171"/>
      <c r="M38" s="22"/>
    </row>
    <row r="39" spans="1:13" ht="90" customHeight="1">
      <c r="A39" s="117"/>
      <c r="C39" s="10" t="s">
        <v>16</v>
      </c>
      <c r="G39" s="107"/>
      <c r="H39" s="138"/>
      <c r="I39" s="171"/>
      <c r="J39" s="226" t="s">
        <v>251</v>
      </c>
      <c r="K39" s="171"/>
      <c r="L39" s="171"/>
      <c r="M39" s="22"/>
    </row>
    <row r="40" spans="1:13" ht="12">
      <c r="A40" s="117" t="s">
        <v>28</v>
      </c>
      <c r="D40" s="10" t="s">
        <v>12</v>
      </c>
      <c r="G40" s="107"/>
      <c r="H40" s="138"/>
      <c r="I40" s="171"/>
      <c r="J40" s="171"/>
      <c r="K40" s="171"/>
      <c r="L40" s="171"/>
      <c r="M40" s="22"/>
    </row>
    <row r="41" spans="1:13" ht="12">
      <c r="A41" s="117" t="s">
        <v>29</v>
      </c>
      <c r="D41" s="10" t="s">
        <v>13</v>
      </c>
      <c r="G41" s="107"/>
      <c r="H41" s="138"/>
      <c r="I41" s="171"/>
      <c r="J41" s="171"/>
      <c r="K41" s="171"/>
      <c r="L41" s="171"/>
      <c r="M41" s="22"/>
    </row>
    <row r="42" spans="1:13" ht="12">
      <c r="A42" s="117" t="s">
        <v>30</v>
      </c>
      <c r="D42" s="10" t="s">
        <v>14</v>
      </c>
      <c r="G42" s="107"/>
      <c r="H42" s="138"/>
      <c r="I42" s="171"/>
      <c r="J42" s="171"/>
      <c r="K42" s="171"/>
      <c r="L42" s="171"/>
      <c r="M42" s="22"/>
    </row>
    <row r="43" spans="1:13" ht="12">
      <c r="A43" s="117" t="s">
        <v>31</v>
      </c>
      <c r="D43" s="10" t="s">
        <v>15</v>
      </c>
      <c r="G43" s="107"/>
      <c r="H43" s="138"/>
      <c r="I43" s="171"/>
      <c r="J43" s="171"/>
      <c r="K43" s="171"/>
      <c r="L43" s="171"/>
      <c r="M43" s="22"/>
    </row>
    <row r="44" spans="1:13" ht="12">
      <c r="A44" s="117"/>
      <c r="C44" s="10" t="s">
        <v>17</v>
      </c>
      <c r="G44" s="107"/>
      <c r="H44" s="138"/>
      <c r="I44" s="171"/>
      <c r="J44" s="171"/>
      <c r="K44" s="171"/>
      <c r="L44" s="171"/>
      <c r="M44" s="22"/>
    </row>
    <row r="45" spans="1:13" ht="12">
      <c r="A45" s="117"/>
      <c r="C45" s="10" t="s">
        <v>11</v>
      </c>
      <c r="G45" s="107"/>
      <c r="H45" s="138"/>
      <c r="I45" s="171"/>
      <c r="J45" s="171"/>
      <c r="K45" s="171"/>
      <c r="L45" s="171"/>
      <c r="M45" s="22"/>
    </row>
    <row r="46" spans="1:13" ht="12">
      <c r="A46" s="117" t="s">
        <v>32</v>
      </c>
      <c r="D46" s="10" t="s">
        <v>18</v>
      </c>
      <c r="G46" s="107"/>
      <c r="H46" s="138"/>
      <c r="I46" s="171"/>
      <c r="J46" s="171"/>
      <c r="K46" s="171"/>
      <c r="L46" s="171"/>
      <c r="M46" s="22"/>
    </row>
    <row r="47" spans="1:13" ht="12">
      <c r="A47" s="117" t="s">
        <v>33</v>
      </c>
      <c r="D47" s="10" t="s">
        <v>19</v>
      </c>
      <c r="G47" s="107"/>
      <c r="H47" s="138"/>
      <c r="I47" s="171"/>
      <c r="J47" s="171"/>
      <c r="K47" s="171"/>
      <c r="L47" s="171"/>
      <c r="M47" s="22"/>
    </row>
    <row r="48" spans="1:13" ht="12">
      <c r="A48" s="117"/>
      <c r="C48" s="10" t="s">
        <v>16</v>
      </c>
      <c r="G48" s="107"/>
      <c r="H48" s="138"/>
      <c r="I48" s="171"/>
      <c r="J48" s="171"/>
      <c r="K48" s="171"/>
      <c r="L48" s="171"/>
      <c r="M48" s="22"/>
    </row>
    <row r="49" spans="1:13" ht="12">
      <c r="A49" s="117" t="s">
        <v>34</v>
      </c>
      <c r="D49" s="10" t="s">
        <v>18</v>
      </c>
      <c r="G49" s="107"/>
      <c r="H49" s="138"/>
      <c r="I49" s="171"/>
      <c r="J49" s="171"/>
      <c r="K49" s="171"/>
      <c r="L49" s="171"/>
      <c r="M49" s="22"/>
    </row>
    <row r="50" spans="1:13" ht="43.5" customHeight="1">
      <c r="A50" s="117" t="s">
        <v>35</v>
      </c>
      <c r="D50" s="10" t="s">
        <v>20</v>
      </c>
      <c r="G50" s="107"/>
      <c r="H50" s="138"/>
      <c r="I50" s="171"/>
      <c r="J50" s="226" t="s">
        <v>252</v>
      </c>
      <c r="K50" s="171"/>
      <c r="L50" s="171"/>
      <c r="M50" s="22"/>
    </row>
    <row r="51" spans="1:13" ht="11.25">
      <c r="A51" s="117"/>
      <c r="C51" s="10" t="s">
        <v>21</v>
      </c>
      <c r="G51" s="107"/>
      <c r="H51" s="138"/>
      <c r="I51" s="171"/>
      <c r="J51" s="171"/>
      <c r="K51" s="171"/>
      <c r="L51" s="171"/>
      <c r="M51" s="22"/>
    </row>
    <row r="52" spans="1:13" ht="11.25">
      <c r="A52" s="117"/>
      <c r="B52" s="10" t="s">
        <v>109</v>
      </c>
      <c r="G52" s="107"/>
      <c r="H52" s="138"/>
      <c r="I52" s="171"/>
      <c r="J52" s="171"/>
      <c r="K52" s="171"/>
      <c r="L52" s="171"/>
      <c r="M52" s="22"/>
    </row>
    <row r="53" spans="1:15" ht="12">
      <c r="A53" s="117"/>
      <c r="C53" s="8"/>
      <c r="D53" s="8"/>
      <c r="E53" s="8"/>
      <c r="F53" s="8"/>
      <c r="G53" s="107"/>
      <c r="H53" s="138"/>
      <c r="I53" s="171"/>
      <c r="J53" s="171"/>
      <c r="K53" s="171"/>
      <c r="L53" s="171"/>
      <c r="M53" s="30"/>
      <c r="N53" s="8"/>
      <c r="O53" s="8"/>
    </row>
    <row r="54" spans="1:15" ht="22.5">
      <c r="A54" s="117" t="s">
        <v>36</v>
      </c>
      <c r="B54" s="10" t="s">
        <v>110</v>
      </c>
      <c r="D54" s="8"/>
      <c r="E54" s="8"/>
      <c r="F54" s="8"/>
      <c r="G54" s="107"/>
      <c r="H54" s="158" t="s">
        <v>112</v>
      </c>
      <c r="I54" s="171"/>
      <c r="J54" s="171"/>
      <c r="K54" s="171"/>
      <c r="L54" s="171"/>
      <c r="M54" s="30"/>
      <c r="N54" s="8"/>
      <c r="O54" s="8"/>
    </row>
    <row r="55" spans="1:13" ht="11.25">
      <c r="A55" s="117"/>
      <c r="C55" s="10" t="s">
        <v>11</v>
      </c>
      <c r="G55" s="107"/>
      <c r="H55" s="138"/>
      <c r="I55" s="171"/>
      <c r="J55" s="171"/>
      <c r="K55" s="171"/>
      <c r="L55" s="171"/>
      <c r="M55" s="22"/>
    </row>
    <row r="56" spans="1:13" ht="11.25">
      <c r="A56" s="117" t="s">
        <v>160</v>
      </c>
      <c r="D56" s="10" t="s">
        <v>12</v>
      </c>
      <c r="G56" s="107"/>
      <c r="H56" s="138"/>
      <c r="I56" s="171"/>
      <c r="J56" s="171"/>
      <c r="K56" s="171"/>
      <c r="L56" s="171"/>
      <c r="M56" s="22"/>
    </row>
    <row r="57" spans="1:13" ht="11.25">
      <c r="A57" s="117" t="s">
        <v>161</v>
      </c>
      <c r="D57" s="10" t="s">
        <v>13</v>
      </c>
      <c r="G57" s="107"/>
      <c r="H57" s="138"/>
      <c r="I57" s="171"/>
      <c r="J57" s="171"/>
      <c r="K57" s="171"/>
      <c r="L57" s="171"/>
      <c r="M57" s="22"/>
    </row>
    <row r="58" spans="1:13" ht="11.25">
      <c r="A58" s="117" t="s">
        <v>162</v>
      </c>
      <c r="D58" s="10" t="s">
        <v>14</v>
      </c>
      <c r="G58" s="107"/>
      <c r="H58" s="138"/>
      <c r="I58" s="171"/>
      <c r="J58" s="171"/>
      <c r="K58" s="171"/>
      <c r="L58" s="171"/>
      <c r="M58" s="22"/>
    </row>
    <row r="59" spans="1:13" ht="11.25">
      <c r="A59" s="117" t="s">
        <v>163</v>
      </c>
      <c r="D59" s="10" t="s">
        <v>15</v>
      </c>
      <c r="G59" s="107"/>
      <c r="H59" s="138"/>
      <c r="I59" s="171"/>
      <c r="J59" s="171"/>
      <c r="K59" s="171"/>
      <c r="L59" s="171"/>
      <c r="M59" s="22"/>
    </row>
    <row r="60" spans="1:13" ht="11.25">
      <c r="A60" s="117"/>
      <c r="C60" s="10" t="s">
        <v>16</v>
      </c>
      <c r="G60" s="107"/>
      <c r="H60" s="138"/>
      <c r="I60" s="171"/>
      <c r="J60" s="171"/>
      <c r="K60" s="171"/>
      <c r="L60" s="171"/>
      <c r="M60" s="22"/>
    </row>
    <row r="61" spans="1:13" ht="11.25">
      <c r="A61" s="117" t="s">
        <v>164</v>
      </c>
      <c r="D61" s="10" t="s">
        <v>12</v>
      </c>
      <c r="G61" s="107"/>
      <c r="H61" s="138"/>
      <c r="I61" s="171"/>
      <c r="J61" s="171"/>
      <c r="K61" s="171"/>
      <c r="L61" s="171"/>
      <c r="M61" s="22"/>
    </row>
    <row r="62" spans="1:13" ht="11.25">
      <c r="A62" s="117" t="s">
        <v>165</v>
      </c>
      <c r="D62" s="10" t="s">
        <v>13</v>
      </c>
      <c r="G62" s="107"/>
      <c r="H62" s="138"/>
      <c r="I62" s="171"/>
      <c r="J62" s="171"/>
      <c r="K62" s="171"/>
      <c r="L62" s="171"/>
      <c r="M62" s="22"/>
    </row>
    <row r="63" spans="1:13" ht="11.25">
      <c r="A63" s="117" t="s">
        <v>166</v>
      </c>
      <c r="D63" s="10" t="s">
        <v>14</v>
      </c>
      <c r="G63" s="107"/>
      <c r="H63" s="138"/>
      <c r="I63" s="171"/>
      <c r="J63" s="171"/>
      <c r="K63" s="171"/>
      <c r="L63" s="171"/>
      <c r="M63" s="22"/>
    </row>
    <row r="64" spans="1:13" ht="11.25">
      <c r="A64" s="117" t="s">
        <v>167</v>
      </c>
      <c r="D64" s="10" t="s">
        <v>15</v>
      </c>
      <c r="G64" s="107"/>
      <c r="H64" s="138"/>
      <c r="I64" s="171"/>
      <c r="J64" s="171"/>
      <c r="K64" s="171"/>
      <c r="L64" s="171"/>
      <c r="M64" s="22"/>
    </row>
    <row r="65" spans="1:13" ht="11.25">
      <c r="A65" s="117"/>
      <c r="C65" s="10" t="s">
        <v>17</v>
      </c>
      <c r="G65" s="107"/>
      <c r="H65" s="138"/>
      <c r="I65" s="171"/>
      <c r="J65" s="171"/>
      <c r="K65" s="171"/>
      <c r="L65" s="171"/>
      <c r="M65" s="22"/>
    </row>
    <row r="66" spans="1:13" ht="11.25">
      <c r="A66" s="117"/>
      <c r="C66" s="10" t="s">
        <v>11</v>
      </c>
      <c r="G66" s="107"/>
      <c r="H66" s="138"/>
      <c r="I66" s="171"/>
      <c r="J66" s="171"/>
      <c r="K66" s="171"/>
      <c r="L66" s="171"/>
      <c r="M66" s="22"/>
    </row>
    <row r="67" spans="1:13" ht="11.25">
      <c r="A67" s="117" t="s">
        <v>168</v>
      </c>
      <c r="D67" s="10" t="s">
        <v>18</v>
      </c>
      <c r="G67" s="107"/>
      <c r="H67" s="138"/>
      <c r="I67" s="171"/>
      <c r="J67" s="171"/>
      <c r="K67" s="171"/>
      <c r="L67" s="171"/>
      <c r="M67" s="22"/>
    </row>
    <row r="68" spans="1:13" ht="11.25">
      <c r="A68" s="117" t="s">
        <v>169</v>
      </c>
      <c r="D68" s="10" t="s">
        <v>19</v>
      </c>
      <c r="G68" s="107"/>
      <c r="H68" s="138"/>
      <c r="I68" s="171"/>
      <c r="J68" s="171"/>
      <c r="K68" s="171"/>
      <c r="L68" s="171"/>
      <c r="M68" s="22"/>
    </row>
    <row r="69" spans="1:13" ht="11.25">
      <c r="A69" s="117"/>
      <c r="C69" s="10" t="s">
        <v>16</v>
      </c>
      <c r="G69" s="107"/>
      <c r="H69" s="138"/>
      <c r="I69" s="171"/>
      <c r="J69" s="171"/>
      <c r="K69" s="171"/>
      <c r="L69" s="171"/>
      <c r="M69" s="22"/>
    </row>
    <row r="70" spans="1:13" ht="11.25">
      <c r="A70" s="117" t="s">
        <v>170</v>
      </c>
      <c r="D70" s="10" t="s">
        <v>18</v>
      </c>
      <c r="G70" s="107"/>
      <c r="H70" s="138"/>
      <c r="I70" s="171"/>
      <c r="J70" s="171"/>
      <c r="K70" s="171"/>
      <c r="L70" s="171"/>
      <c r="M70" s="22"/>
    </row>
    <row r="71" spans="1:13" ht="11.25">
      <c r="A71" s="117" t="s">
        <v>171</v>
      </c>
      <c r="D71" s="10" t="s">
        <v>20</v>
      </c>
      <c r="G71" s="107"/>
      <c r="H71" s="138"/>
      <c r="I71" s="171"/>
      <c r="J71" s="171"/>
      <c r="K71" s="171"/>
      <c r="L71" s="171"/>
      <c r="M71" s="22"/>
    </row>
    <row r="72" spans="1:13" ht="11.25">
      <c r="A72" s="117"/>
      <c r="C72" s="10" t="s">
        <v>21</v>
      </c>
      <c r="G72" s="107"/>
      <c r="H72" s="138"/>
      <c r="I72" s="171"/>
      <c r="J72" s="171"/>
      <c r="K72" s="171"/>
      <c r="L72" s="171"/>
      <c r="M72" s="22"/>
    </row>
    <row r="73" spans="1:13" ht="11.25">
      <c r="A73" s="117"/>
      <c r="B73" s="10" t="s">
        <v>111</v>
      </c>
      <c r="G73" s="107"/>
      <c r="H73" s="138"/>
      <c r="I73" s="171"/>
      <c r="J73" s="171"/>
      <c r="K73" s="171"/>
      <c r="L73" s="171"/>
      <c r="M73" s="22"/>
    </row>
    <row r="74" spans="1:15" ht="12">
      <c r="A74" s="117"/>
      <c r="C74" s="8"/>
      <c r="D74" s="8"/>
      <c r="E74" s="8"/>
      <c r="F74" s="8"/>
      <c r="G74" s="107"/>
      <c r="H74" s="138"/>
      <c r="I74" s="171"/>
      <c r="J74" s="171"/>
      <c r="K74" s="171"/>
      <c r="L74" s="171"/>
      <c r="M74" s="30"/>
      <c r="N74" s="8"/>
      <c r="O74" s="8"/>
    </row>
    <row r="75" spans="1:16" ht="26.25" customHeight="1">
      <c r="A75" s="142" t="s">
        <v>37</v>
      </c>
      <c r="B75" s="21" t="s">
        <v>115</v>
      </c>
      <c r="C75" s="21"/>
      <c r="D75" s="21"/>
      <c r="E75" s="87"/>
      <c r="F75" s="87"/>
      <c r="G75" s="143"/>
      <c r="H75" s="158" t="s">
        <v>117</v>
      </c>
      <c r="I75" s="203"/>
      <c r="J75" s="203"/>
      <c r="K75" s="203"/>
      <c r="L75" s="203"/>
      <c r="M75" s="21"/>
      <c r="N75" s="87"/>
      <c r="O75" s="87"/>
      <c r="P75" s="21"/>
    </row>
    <row r="76" spans="1:12" ht="11.25">
      <c r="A76" s="117"/>
      <c r="C76" s="10" t="s">
        <v>11</v>
      </c>
      <c r="G76" s="107"/>
      <c r="H76" s="138"/>
      <c r="I76" s="171"/>
      <c r="J76" s="171"/>
      <c r="K76" s="171"/>
      <c r="L76" s="171"/>
    </row>
    <row r="77" spans="1:12" ht="11.25">
      <c r="A77" s="117" t="s">
        <v>172</v>
      </c>
      <c r="D77" s="10" t="s">
        <v>12</v>
      </c>
      <c r="G77" s="107"/>
      <c r="H77" s="138"/>
      <c r="I77" s="171"/>
      <c r="J77" s="171"/>
      <c r="K77" s="171"/>
      <c r="L77" s="171"/>
    </row>
    <row r="78" spans="1:12" ht="11.25">
      <c r="A78" s="117" t="s">
        <v>173</v>
      </c>
      <c r="D78" s="10" t="s">
        <v>13</v>
      </c>
      <c r="G78" s="107"/>
      <c r="H78" s="138"/>
      <c r="I78" s="171"/>
      <c r="J78" s="171"/>
      <c r="K78" s="171"/>
      <c r="L78" s="171"/>
    </row>
    <row r="79" spans="1:12" ht="11.25">
      <c r="A79" s="117" t="s">
        <v>174</v>
      </c>
      <c r="D79" s="10" t="s">
        <v>14</v>
      </c>
      <c r="G79" s="107"/>
      <c r="H79" s="138"/>
      <c r="I79" s="171"/>
      <c r="J79" s="171"/>
      <c r="K79" s="171"/>
      <c r="L79" s="171"/>
    </row>
    <row r="80" spans="1:12" ht="11.25">
      <c r="A80" s="117" t="s">
        <v>175</v>
      </c>
      <c r="D80" s="10" t="s">
        <v>15</v>
      </c>
      <c r="G80" s="107"/>
      <c r="H80" s="138"/>
      <c r="I80" s="171"/>
      <c r="J80" s="171"/>
      <c r="K80" s="171"/>
      <c r="L80" s="171"/>
    </row>
    <row r="81" spans="1:12" ht="11.25">
      <c r="A81" s="117"/>
      <c r="C81" s="10" t="s">
        <v>16</v>
      </c>
      <c r="G81" s="107"/>
      <c r="H81" s="138"/>
      <c r="I81" s="171"/>
      <c r="J81" s="171"/>
      <c r="K81" s="171"/>
      <c r="L81" s="171"/>
    </row>
    <row r="82" spans="1:12" ht="11.25">
      <c r="A82" s="117" t="s">
        <v>176</v>
      </c>
      <c r="D82" s="10" t="s">
        <v>12</v>
      </c>
      <c r="G82" s="107"/>
      <c r="H82" s="138"/>
      <c r="I82" s="171"/>
      <c r="J82" s="171"/>
      <c r="K82" s="171"/>
      <c r="L82" s="171"/>
    </row>
    <row r="83" spans="1:12" ht="11.25">
      <c r="A83" s="117" t="s">
        <v>177</v>
      </c>
      <c r="D83" s="10" t="s">
        <v>13</v>
      </c>
      <c r="G83" s="107"/>
      <c r="H83" s="138"/>
      <c r="I83" s="171"/>
      <c r="J83" s="171"/>
      <c r="K83" s="171"/>
      <c r="L83" s="171"/>
    </row>
    <row r="84" spans="1:12" ht="11.25">
      <c r="A84" s="117" t="s">
        <v>178</v>
      </c>
      <c r="D84" s="10" t="s">
        <v>14</v>
      </c>
      <c r="G84" s="107"/>
      <c r="H84" s="138"/>
      <c r="I84" s="171"/>
      <c r="J84" s="171"/>
      <c r="K84" s="171"/>
      <c r="L84" s="171"/>
    </row>
    <row r="85" spans="1:12" ht="11.25">
      <c r="A85" s="117" t="s">
        <v>179</v>
      </c>
      <c r="D85" s="10" t="s">
        <v>15</v>
      </c>
      <c r="G85" s="107"/>
      <c r="H85" s="138"/>
      <c r="I85" s="171"/>
      <c r="J85" s="171"/>
      <c r="K85" s="171"/>
      <c r="L85" s="171"/>
    </row>
    <row r="86" spans="1:12" ht="11.25">
      <c r="A86" s="117"/>
      <c r="C86" s="10" t="s">
        <v>17</v>
      </c>
      <c r="G86" s="107"/>
      <c r="H86" s="138"/>
      <c r="I86" s="171"/>
      <c r="J86" s="171"/>
      <c r="K86" s="171"/>
      <c r="L86" s="171"/>
    </row>
    <row r="87" spans="1:12" ht="11.25">
      <c r="A87" s="117"/>
      <c r="C87" s="10" t="s">
        <v>11</v>
      </c>
      <c r="G87" s="107"/>
      <c r="H87" s="138"/>
      <c r="I87" s="171"/>
      <c r="J87" s="171"/>
      <c r="K87" s="171"/>
      <c r="L87" s="171"/>
    </row>
    <row r="88" spans="1:12" ht="11.25">
      <c r="A88" s="117" t="s">
        <v>46</v>
      </c>
      <c r="D88" s="10" t="s">
        <v>18</v>
      </c>
      <c r="G88" s="107"/>
      <c r="H88" s="138"/>
      <c r="I88" s="171"/>
      <c r="J88" s="171"/>
      <c r="K88" s="171"/>
      <c r="L88" s="171"/>
    </row>
    <row r="89" spans="1:12" ht="11.25">
      <c r="A89" s="117" t="s">
        <v>180</v>
      </c>
      <c r="D89" s="10" t="s">
        <v>19</v>
      </c>
      <c r="G89" s="107"/>
      <c r="H89" s="138"/>
      <c r="I89" s="171"/>
      <c r="J89" s="171"/>
      <c r="K89" s="171"/>
      <c r="L89" s="171"/>
    </row>
    <row r="90" spans="1:12" ht="11.25">
      <c r="A90" s="117"/>
      <c r="C90" s="10" t="s">
        <v>16</v>
      </c>
      <c r="G90" s="107"/>
      <c r="H90" s="138"/>
      <c r="I90" s="171"/>
      <c r="J90" s="171"/>
      <c r="K90" s="171"/>
      <c r="L90" s="171"/>
    </row>
    <row r="91" spans="1:12" ht="11.25">
      <c r="A91" s="117" t="s">
        <v>181</v>
      </c>
      <c r="D91" s="10" t="s">
        <v>18</v>
      </c>
      <c r="G91" s="107"/>
      <c r="H91" s="138"/>
      <c r="I91" s="171"/>
      <c r="J91" s="171"/>
      <c r="K91" s="171"/>
      <c r="L91" s="171"/>
    </row>
    <row r="92" spans="1:12" ht="11.25">
      <c r="A92" s="117" t="s">
        <v>182</v>
      </c>
      <c r="D92" s="10" t="s">
        <v>20</v>
      </c>
      <c r="G92" s="107"/>
      <c r="H92" s="138"/>
      <c r="I92" s="171"/>
      <c r="J92" s="171"/>
      <c r="K92" s="171"/>
      <c r="L92" s="171"/>
    </row>
    <row r="93" spans="1:12" ht="11.25">
      <c r="A93" s="117"/>
      <c r="C93" s="10" t="s">
        <v>21</v>
      </c>
      <c r="G93" s="107"/>
      <c r="H93" s="138"/>
      <c r="I93" s="171"/>
      <c r="J93" s="171"/>
      <c r="K93" s="171"/>
      <c r="L93" s="171"/>
    </row>
    <row r="94" spans="1:12" ht="11.25">
      <c r="A94" s="117"/>
      <c r="B94" s="10" t="s">
        <v>116</v>
      </c>
      <c r="G94" s="107"/>
      <c r="H94" s="138"/>
      <c r="I94" s="171"/>
      <c r="J94" s="171"/>
      <c r="K94" s="171"/>
      <c r="L94" s="171"/>
    </row>
    <row r="95" spans="1:12" ht="11.25">
      <c r="A95" s="117"/>
      <c r="G95" s="107"/>
      <c r="H95" s="138"/>
      <c r="I95" s="171"/>
      <c r="J95" s="171"/>
      <c r="K95" s="171"/>
      <c r="L95" s="171"/>
    </row>
    <row r="96" spans="1:12" ht="34.5" customHeight="1">
      <c r="A96" s="117" t="s">
        <v>38</v>
      </c>
      <c r="B96" s="10" t="s">
        <v>220</v>
      </c>
      <c r="G96" s="107"/>
      <c r="H96" s="158" t="s">
        <v>113</v>
      </c>
      <c r="I96" s="171"/>
      <c r="J96" s="171"/>
      <c r="K96" s="171"/>
      <c r="L96" s="171"/>
    </row>
    <row r="97" spans="1:12" ht="11.25">
      <c r="A97" s="117"/>
      <c r="C97" s="10" t="s">
        <v>11</v>
      </c>
      <c r="G97" s="107"/>
      <c r="H97" s="138"/>
      <c r="I97" s="171"/>
      <c r="J97" s="171"/>
      <c r="K97" s="171"/>
      <c r="L97" s="171"/>
    </row>
    <row r="98" spans="1:12" ht="11.25">
      <c r="A98" s="117" t="s">
        <v>183</v>
      </c>
      <c r="D98" s="10" t="s">
        <v>12</v>
      </c>
      <c r="G98" s="107"/>
      <c r="H98" s="138"/>
      <c r="I98" s="171"/>
      <c r="J98" s="171"/>
      <c r="K98" s="171"/>
      <c r="L98" s="171"/>
    </row>
    <row r="99" spans="1:12" ht="11.25">
      <c r="A99" s="117" t="s">
        <v>184</v>
      </c>
      <c r="D99" s="10" t="s">
        <v>13</v>
      </c>
      <c r="G99" s="107"/>
      <c r="H99" s="138"/>
      <c r="I99" s="171"/>
      <c r="J99" s="171"/>
      <c r="K99" s="171"/>
      <c r="L99" s="171"/>
    </row>
    <row r="100" spans="1:12" ht="11.25">
      <c r="A100" s="117" t="s">
        <v>222</v>
      </c>
      <c r="D100" s="10" t="s">
        <v>14</v>
      </c>
      <c r="G100" s="107"/>
      <c r="H100" s="138"/>
      <c r="I100" s="171"/>
      <c r="J100" s="171"/>
      <c r="K100" s="171"/>
      <c r="L100" s="171"/>
    </row>
    <row r="101" spans="1:12" ht="11.25">
      <c r="A101" s="117" t="s">
        <v>223</v>
      </c>
      <c r="D101" s="10" t="s">
        <v>15</v>
      </c>
      <c r="G101" s="107"/>
      <c r="H101" s="138"/>
      <c r="I101" s="171"/>
      <c r="J101" s="171"/>
      <c r="K101" s="171"/>
      <c r="L101" s="171"/>
    </row>
    <row r="102" spans="1:12" ht="11.25">
      <c r="A102" s="117"/>
      <c r="C102" s="10" t="s">
        <v>16</v>
      </c>
      <c r="G102" s="107"/>
      <c r="H102" s="138"/>
      <c r="I102" s="171"/>
      <c r="J102" s="171"/>
      <c r="K102" s="171"/>
      <c r="L102" s="171"/>
    </row>
    <row r="103" spans="1:12" ht="11.25">
      <c r="A103" s="117" t="s">
        <v>224</v>
      </c>
      <c r="D103" s="10" t="s">
        <v>12</v>
      </c>
      <c r="G103" s="107"/>
      <c r="H103" s="138"/>
      <c r="I103" s="171"/>
      <c r="J103" s="171"/>
      <c r="K103" s="171"/>
      <c r="L103" s="171"/>
    </row>
    <row r="104" spans="1:12" ht="11.25">
      <c r="A104" s="117" t="s">
        <v>225</v>
      </c>
      <c r="D104" s="10" t="s">
        <v>13</v>
      </c>
      <c r="G104" s="107"/>
      <c r="H104" s="138"/>
      <c r="I104" s="171"/>
      <c r="J104" s="171"/>
      <c r="K104" s="171"/>
      <c r="L104" s="171"/>
    </row>
    <row r="105" spans="1:12" ht="11.25">
      <c r="A105" s="117" t="s">
        <v>226</v>
      </c>
      <c r="D105" s="10" t="s">
        <v>14</v>
      </c>
      <c r="G105" s="107"/>
      <c r="H105" s="138"/>
      <c r="I105" s="171"/>
      <c r="J105" s="171"/>
      <c r="K105" s="171"/>
      <c r="L105" s="171"/>
    </row>
    <row r="106" spans="1:12" ht="11.25">
      <c r="A106" s="117" t="s">
        <v>227</v>
      </c>
      <c r="D106" s="10" t="s">
        <v>15</v>
      </c>
      <c r="G106" s="107"/>
      <c r="H106" s="138"/>
      <c r="I106" s="171"/>
      <c r="J106" s="171"/>
      <c r="K106" s="171"/>
      <c r="L106" s="171"/>
    </row>
    <row r="107" spans="1:12" ht="11.25">
      <c r="A107" s="117"/>
      <c r="C107" s="10" t="s">
        <v>17</v>
      </c>
      <c r="G107" s="107"/>
      <c r="H107" s="138"/>
      <c r="I107" s="171"/>
      <c r="J107" s="171"/>
      <c r="K107" s="171"/>
      <c r="L107" s="171"/>
    </row>
    <row r="108" spans="1:12" ht="11.25">
      <c r="A108" s="117"/>
      <c r="C108" s="10" t="s">
        <v>11</v>
      </c>
      <c r="G108" s="107"/>
      <c r="H108" s="138"/>
      <c r="I108" s="171"/>
      <c r="J108" s="171"/>
      <c r="K108" s="171"/>
      <c r="L108" s="171"/>
    </row>
    <row r="109" spans="1:12" ht="11.25">
      <c r="A109" s="117" t="s">
        <v>228</v>
      </c>
      <c r="D109" s="10" t="s">
        <v>18</v>
      </c>
      <c r="G109" s="107"/>
      <c r="H109" s="138"/>
      <c r="I109" s="171"/>
      <c r="J109" s="171"/>
      <c r="K109" s="171"/>
      <c r="L109" s="171"/>
    </row>
    <row r="110" spans="1:12" ht="11.25">
      <c r="A110" s="117" t="s">
        <v>229</v>
      </c>
      <c r="D110" s="10" t="s">
        <v>19</v>
      </c>
      <c r="G110" s="107"/>
      <c r="H110" s="138"/>
      <c r="I110" s="171"/>
      <c r="J110" s="171"/>
      <c r="K110" s="171"/>
      <c r="L110" s="171"/>
    </row>
    <row r="111" spans="1:12" ht="11.25">
      <c r="A111" s="117"/>
      <c r="C111" s="10" t="s">
        <v>16</v>
      </c>
      <c r="G111" s="107"/>
      <c r="H111" s="138"/>
      <c r="I111" s="171"/>
      <c r="J111" s="171"/>
      <c r="K111" s="171"/>
      <c r="L111" s="171"/>
    </row>
    <row r="112" spans="1:12" ht="11.25">
      <c r="A112" s="117" t="s">
        <v>230</v>
      </c>
      <c r="D112" s="10" t="s">
        <v>18</v>
      </c>
      <c r="G112" s="107"/>
      <c r="H112" s="138"/>
      <c r="I112" s="171"/>
      <c r="J112" s="171"/>
      <c r="K112" s="171"/>
      <c r="L112" s="171"/>
    </row>
    <row r="113" spans="1:12" ht="11.25">
      <c r="A113" s="117" t="s">
        <v>231</v>
      </c>
      <c r="D113" s="10" t="s">
        <v>20</v>
      </c>
      <c r="G113" s="107"/>
      <c r="H113" s="138"/>
      <c r="I113" s="171"/>
      <c r="J113" s="171"/>
      <c r="K113" s="171"/>
      <c r="L113" s="171"/>
    </row>
    <row r="114" spans="1:12" ht="11.25">
      <c r="A114" s="117"/>
      <c r="C114" s="10" t="s">
        <v>21</v>
      </c>
      <c r="G114" s="107"/>
      <c r="H114" s="138"/>
      <c r="I114" s="171"/>
      <c r="J114" s="171"/>
      <c r="K114" s="171"/>
      <c r="L114" s="171"/>
    </row>
    <row r="115" spans="1:12" ht="11.25">
      <c r="A115" s="117"/>
      <c r="B115" s="10" t="s">
        <v>238</v>
      </c>
      <c r="G115" s="107"/>
      <c r="H115" s="138"/>
      <c r="I115" s="171"/>
      <c r="J115" s="171"/>
      <c r="K115" s="171"/>
      <c r="L115" s="171"/>
    </row>
    <row r="116" spans="1:12" ht="11.25">
      <c r="A116" s="117"/>
      <c r="G116" s="107"/>
      <c r="H116" s="138"/>
      <c r="I116" s="171"/>
      <c r="J116" s="171"/>
      <c r="K116" s="171"/>
      <c r="L116" s="171"/>
    </row>
    <row r="117" spans="1:12" ht="11.25">
      <c r="A117" s="117" t="s">
        <v>39</v>
      </c>
      <c r="B117" s="10" t="s">
        <v>47</v>
      </c>
      <c r="G117" s="107"/>
      <c r="H117" s="138"/>
      <c r="I117" s="171"/>
      <c r="J117" s="171"/>
      <c r="K117" s="171"/>
      <c r="L117" s="171"/>
    </row>
    <row r="118" spans="1:12" ht="11.25">
      <c r="A118" s="325" t="s">
        <v>233</v>
      </c>
      <c r="C118" s="10" t="s">
        <v>48</v>
      </c>
      <c r="G118" s="107"/>
      <c r="H118" s="138"/>
      <c r="I118" s="171"/>
      <c r="J118" s="171"/>
      <c r="K118" s="171"/>
      <c r="L118" s="171"/>
    </row>
    <row r="119" spans="1:12" ht="11.25">
      <c r="A119" s="325" t="s">
        <v>234</v>
      </c>
      <c r="C119" s="10" t="s">
        <v>49</v>
      </c>
      <c r="G119" s="107"/>
      <c r="H119" s="138"/>
      <c r="I119" s="171"/>
      <c r="J119" s="171"/>
      <c r="K119" s="171"/>
      <c r="L119" s="171"/>
    </row>
    <row r="120" spans="1:12" ht="12" thickBot="1">
      <c r="A120" s="144" t="s">
        <v>232</v>
      </c>
      <c r="B120" s="89" t="s">
        <v>40</v>
      </c>
      <c r="C120" s="89"/>
      <c r="D120" s="89"/>
      <c r="E120" s="89"/>
      <c r="F120" s="89"/>
      <c r="G120" s="145"/>
      <c r="H120" s="138"/>
      <c r="I120" s="227"/>
      <c r="J120" s="227"/>
      <c r="K120" s="227"/>
      <c r="L120" s="227"/>
    </row>
    <row r="121" spans="1:12" ht="12" thickTop="1">
      <c r="A121" s="146"/>
      <c r="B121" s="80" t="s">
        <v>50</v>
      </c>
      <c r="C121" s="80"/>
      <c r="D121" s="80"/>
      <c r="E121" s="80"/>
      <c r="F121" s="92"/>
      <c r="G121" s="147"/>
      <c r="H121" s="141"/>
      <c r="I121" s="173"/>
      <c r="J121" s="173"/>
      <c r="K121" s="173"/>
      <c r="L121" s="173"/>
    </row>
    <row r="122" spans="1:12" ht="11.25">
      <c r="A122" s="117"/>
      <c r="G122" s="107"/>
      <c r="H122" s="138"/>
      <c r="I122" s="171"/>
      <c r="J122" s="171"/>
      <c r="K122" s="171"/>
      <c r="L122" s="171"/>
    </row>
    <row r="123" spans="1:17" ht="12">
      <c r="A123" s="117">
        <v>3</v>
      </c>
      <c r="B123" s="12" t="s">
        <v>54</v>
      </c>
      <c r="C123" s="12"/>
      <c r="D123" s="12"/>
      <c r="E123" s="12"/>
      <c r="F123" s="12"/>
      <c r="G123" s="107"/>
      <c r="H123" s="138"/>
      <c r="I123" s="171"/>
      <c r="J123" s="171"/>
      <c r="K123" s="171"/>
      <c r="L123" s="171"/>
      <c r="M123" s="157"/>
      <c r="N123" s="148"/>
      <c r="O123" s="148"/>
      <c r="P123" s="22"/>
      <c r="Q123" s="149"/>
    </row>
    <row r="124" spans="1:13" ht="11.25">
      <c r="A124" s="117" t="s">
        <v>43</v>
      </c>
      <c r="B124" s="10" t="s">
        <v>55</v>
      </c>
      <c r="G124" s="107"/>
      <c r="H124" s="138"/>
      <c r="I124" s="171"/>
      <c r="J124" s="171"/>
      <c r="K124" s="171"/>
      <c r="L124" s="171"/>
      <c r="M124" s="157"/>
    </row>
    <row r="125" spans="1:13" ht="11.25">
      <c r="A125" s="117"/>
      <c r="G125" s="107"/>
      <c r="H125" s="138"/>
      <c r="I125" s="171"/>
      <c r="J125" s="171"/>
      <c r="K125" s="171"/>
      <c r="L125" s="171"/>
      <c r="M125" s="157"/>
    </row>
    <row r="126" spans="1:13" ht="11.25">
      <c r="A126" s="117" t="s">
        <v>44</v>
      </c>
      <c r="B126" s="10" t="s">
        <v>56</v>
      </c>
      <c r="G126" s="107"/>
      <c r="H126" s="138"/>
      <c r="I126" s="171"/>
      <c r="J126" s="171"/>
      <c r="K126" s="171"/>
      <c r="L126" s="171"/>
      <c r="M126" s="157"/>
    </row>
    <row r="127" spans="1:13" ht="12" customHeight="1" thickBot="1">
      <c r="A127" s="117"/>
      <c r="G127" s="107"/>
      <c r="H127" s="138"/>
      <c r="I127" s="227"/>
      <c r="J127" s="227"/>
      <c r="K127" s="227"/>
      <c r="L127" s="227"/>
      <c r="M127" s="32"/>
    </row>
    <row r="128" spans="1:13" ht="12" thickTop="1">
      <c r="A128" s="139"/>
      <c r="B128" s="80" t="s">
        <v>57</v>
      </c>
      <c r="C128" s="80"/>
      <c r="D128" s="80"/>
      <c r="E128" s="80"/>
      <c r="F128" s="80"/>
      <c r="G128" s="140"/>
      <c r="H128" s="141"/>
      <c r="I128" s="173"/>
      <c r="J128" s="173"/>
      <c r="K128" s="173"/>
      <c r="L128" s="173"/>
      <c r="M128" s="32"/>
    </row>
    <row r="129" spans="1:13" ht="11.25">
      <c r="A129" s="117"/>
      <c r="G129" s="107"/>
      <c r="H129" s="138"/>
      <c r="I129" s="171"/>
      <c r="J129" s="171"/>
      <c r="K129" s="171"/>
      <c r="L129" s="171"/>
      <c r="M129" s="32"/>
    </row>
    <row r="130" spans="1:13" ht="12">
      <c r="A130" s="117">
        <v>4</v>
      </c>
      <c r="B130" s="8" t="s">
        <v>58</v>
      </c>
      <c r="C130" s="8"/>
      <c r="D130" s="8"/>
      <c r="E130" s="8"/>
      <c r="F130" s="8"/>
      <c r="G130" s="34"/>
      <c r="H130" s="46"/>
      <c r="I130" s="171"/>
      <c r="J130" s="171"/>
      <c r="K130" s="171"/>
      <c r="L130" s="171"/>
      <c r="M130" s="32"/>
    </row>
    <row r="131" spans="1:13" ht="11.25">
      <c r="A131" s="117" t="s">
        <v>51</v>
      </c>
      <c r="B131" s="10" t="s">
        <v>59</v>
      </c>
      <c r="G131" s="107"/>
      <c r="H131" s="138"/>
      <c r="I131" s="171"/>
      <c r="J131" s="171"/>
      <c r="K131" s="171"/>
      <c r="L131" s="171"/>
      <c r="M131" s="32"/>
    </row>
    <row r="132" spans="1:13" ht="11.25">
      <c r="A132" s="117" t="s">
        <v>52</v>
      </c>
      <c r="B132" s="10" t="s">
        <v>60</v>
      </c>
      <c r="G132" s="107"/>
      <c r="H132" s="138"/>
      <c r="I132" s="171"/>
      <c r="J132" s="171"/>
      <c r="K132" s="171"/>
      <c r="L132" s="171"/>
      <c r="M132" s="32"/>
    </row>
    <row r="133" spans="1:13" ht="11.25">
      <c r="A133" s="117" t="s">
        <v>53</v>
      </c>
      <c r="B133" s="10" t="s">
        <v>61</v>
      </c>
      <c r="G133" s="107"/>
      <c r="H133" s="138"/>
      <c r="I133" s="171"/>
      <c r="J133" s="171"/>
      <c r="K133" s="171"/>
      <c r="L133" s="171"/>
      <c r="M133" s="32"/>
    </row>
    <row r="134" spans="1:13" ht="33.75">
      <c r="A134" s="117" t="s">
        <v>185</v>
      </c>
      <c r="B134" s="10" t="s">
        <v>62</v>
      </c>
      <c r="G134" s="107"/>
      <c r="H134" s="150" t="s">
        <v>133</v>
      </c>
      <c r="I134" s="171"/>
      <c r="J134" s="309" t="s">
        <v>281</v>
      </c>
      <c r="K134" s="171"/>
      <c r="L134" s="171"/>
      <c r="M134" s="32"/>
    </row>
    <row r="135" spans="1:13" ht="12">
      <c r="A135" s="117" t="s">
        <v>235</v>
      </c>
      <c r="B135" s="10" t="s">
        <v>63</v>
      </c>
      <c r="G135" s="107"/>
      <c r="H135" s="138"/>
      <c r="I135" s="53"/>
      <c r="J135" s="203" t="s">
        <v>254</v>
      </c>
      <c r="K135" s="53"/>
      <c r="L135" s="53"/>
      <c r="M135" s="32"/>
    </row>
    <row r="136" spans="1:13" ht="12" thickBot="1">
      <c r="A136" s="117" t="s">
        <v>236</v>
      </c>
      <c r="B136" s="22" t="s">
        <v>64</v>
      </c>
      <c r="C136" s="22"/>
      <c r="D136" s="22"/>
      <c r="E136" s="22"/>
      <c r="F136" s="22"/>
      <c r="G136" s="107"/>
      <c r="H136" s="138"/>
      <c r="I136" s="227"/>
      <c r="J136" s="227"/>
      <c r="K136" s="227"/>
      <c r="L136" s="227"/>
      <c r="M136" s="32"/>
    </row>
    <row r="137" spans="1:16" ht="12" thickTop="1">
      <c r="A137" s="139"/>
      <c r="B137" s="80" t="s">
        <v>65</v>
      </c>
      <c r="C137" s="80"/>
      <c r="D137" s="80"/>
      <c r="E137" s="80"/>
      <c r="F137" s="80"/>
      <c r="G137" s="140"/>
      <c r="H137" s="141"/>
      <c r="I137" s="173"/>
      <c r="J137" s="173"/>
      <c r="K137" s="173"/>
      <c r="L137" s="173"/>
      <c r="M137" s="32"/>
      <c r="N137" s="22"/>
      <c r="O137" s="22"/>
      <c r="P137" s="22"/>
    </row>
    <row r="138" spans="1:20" ht="12" thickBot="1">
      <c r="A138" s="117"/>
      <c r="B138" s="22"/>
      <c r="C138" s="22"/>
      <c r="D138" s="22"/>
      <c r="E138" s="22"/>
      <c r="F138" s="22"/>
      <c r="G138" s="107"/>
      <c r="H138" s="138"/>
      <c r="I138" s="227"/>
      <c r="J138" s="227"/>
      <c r="K138" s="227"/>
      <c r="L138" s="227"/>
      <c r="M138" s="32"/>
      <c r="N138" s="22"/>
      <c r="O138" s="22"/>
      <c r="P138" s="22"/>
      <c r="Q138" s="149"/>
      <c r="R138" s="22"/>
      <c r="S138" s="22"/>
      <c r="T138" s="22"/>
    </row>
    <row r="139" spans="1:20" ht="12" thickTop="1">
      <c r="A139" s="139"/>
      <c r="B139" s="262" t="s">
        <v>237</v>
      </c>
      <c r="C139" s="11"/>
      <c r="D139" s="80"/>
      <c r="E139" s="80"/>
      <c r="F139" s="80"/>
      <c r="G139" s="140"/>
      <c r="H139" s="141"/>
      <c r="I139" s="173"/>
      <c r="J139" s="173"/>
      <c r="K139" s="173"/>
      <c r="L139" s="173"/>
      <c r="M139" s="32"/>
      <c r="N139" s="22"/>
      <c r="O139" s="22"/>
      <c r="P139" s="22"/>
      <c r="Q139" s="22"/>
      <c r="R139" s="22"/>
      <c r="S139" s="22"/>
      <c r="T139" s="22"/>
    </row>
    <row r="140" spans="1:20" ht="11.25">
      <c r="A140" s="117"/>
      <c r="B140" s="263"/>
      <c r="G140" s="107"/>
      <c r="H140" s="138"/>
      <c r="I140" s="171"/>
      <c r="J140" s="171"/>
      <c r="K140" s="171"/>
      <c r="L140" s="171"/>
      <c r="M140" s="32"/>
      <c r="N140" s="22"/>
      <c r="O140" s="22"/>
      <c r="P140" s="22"/>
      <c r="Q140" s="22"/>
      <c r="R140" s="22"/>
      <c r="S140" s="22"/>
      <c r="T140" s="22"/>
    </row>
    <row r="141" spans="1:20" ht="12">
      <c r="A141" s="117">
        <v>5</v>
      </c>
      <c r="B141" s="12" t="s">
        <v>66</v>
      </c>
      <c r="C141" s="12"/>
      <c r="G141" s="107"/>
      <c r="H141" s="138"/>
      <c r="I141" s="171"/>
      <c r="J141" s="171" t="s">
        <v>255</v>
      </c>
      <c r="K141" s="171" t="s">
        <v>255</v>
      </c>
      <c r="L141" s="171" t="s">
        <v>255</v>
      </c>
      <c r="M141" s="32"/>
      <c r="N141" s="22"/>
      <c r="O141" s="22"/>
      <c r="P141" s="22"/>
      <c r="Q141" s="149"/>
      <c r="R141" s="22"/>
      <c r="S141" s="22"/>
      <c r="T141" s="22"/>
    </row>
    <row r="142" spans="1:20" ht="22.5">
      <c r="A142" s="117" t="s">
        <v>134</v>
      </c>
      <c r="B142" s="29" t="s">
        <v>187</v>
      </c>
      <c r="C142" s="17"/>
      <c r="G142" s="106">
        <v>0.05</v>
      </c>
      <c r="H142" s="150" t="s">
        <v>144</v>
      </c>
      <c r="I142" s="177">
        <v>0.05</v>
      </c>
      <c r="J142" s="177"/>
      <c r="K142" s="177"/>
      <c r="L142" s="177"/>
      <c r="M142" s="32"/>
      <c r="N142" s="22"/>
      <c r="O142" s="22"/>
      <c r="P142" s="22"/>
      <c r="Q142" s="149"/>
      <c r="R142" s="22"/>
      <c r="S142" s="22"/>
      <c r="T142" s="22"/>
    </row>
    <row r="143" spans="1:20" ht="22.5">
      <c r="A143" s="117" t="s">
        <v>135</v>
      </c>
      <c r="B143" s="21" t="s">
        <v>189</v>
      </c>
      <c r="G143" s="106">
        <v>0.05</v>
      </c>
      <c r="H143" s="150" t="s">
        <v>144</v>
      </c>
      <c r="I143" s="177">
        <v>0.05</v>
      </c>
      <c r="J143" s="177"/>
      <c r="K143" s="177"/>
      <c r="L143" s="177"/>
      <c r="M143" s="32"/>
      <c r="N143" s="22"/>
      <c r="O143" s="22"/>
      <c r="P143" s="22"/>
      <c r="Q143" s="22"/>
      <c r="R143" s="22"/>
      <c r="S143" s="22"/>
      <c r="T143" s="22"/>
    </row>
    <row r="144" spans="1:20" ht="45">
      <c r="A144" s="117" t="s">
        <v>136</v>
      </c>
      <c r="B144" s="21" t="s">
        <v>68</v>
      </c>
      <c r="G144" s="107"/>
      <c r="H144" s="150"/>
      <c r="I144" s="205" t="s">
        <v>239</v>
      </c>
      <c r="J144" s="205"/>
      <c r="K144" s="205"/>
      <c r="L144" s="205"/>
      <c r="M144" s="32"/>
      <c r="N144" s="22"/>
      <c r="O144" s="22"/>
      <c r="P144" s="22"/>
      <c r="Q144" s="22"/>
      <c r="R144" s="22"/>
      <c r="S144" s="22"/>
      <c r="T144" s="22"/>
    </row>
    <row r="145" spans="1:20" ht="45">
      <c r="A145" s="117" t="s">
        <v>137</v>
      </c>
      <c r="B145" s="21" t="s">
        <v>69</v>
      </c>
      <c r="G145" s="107"/>
      <c r="H145" s="150"/>
      <c r="I145" s="205" t="s">
        <v>240</v>
      </c>
      <c r="J145" s="205"/>
      <c r="K145" s="205"/>
      <c r="L145" s="205"/>
      <c r="M145" s="32"/>
      <c r="N145" s="22"/>
      <c r="O145" s="22"/>
      <c r="P145" s="22"/>
      <c r="Q145" s="149"/>
      <c r="R145" s="22"/>
      <c r="S145" s="22"/>
      <c r="T145" s="22"/>
    </row>
    <row r="146" spans="1:20" ht="33.75">
      <c r="A146" s="117" t="s">
        <v>138</v>
      </c>
      <c r="B146" s="21" t="s">
        <v>70</v>
      </c>
      <c r="G146" s="107"/>
      <c r="H146" s="150"/>
      <c r="I146" s="205" t="s">
        <v>241</v>
      </c>
      <c r="J146" s="205"/>
      <c r="K146" s="205"/>
      <c r="L146" s="205"/>
      <c r="M146" s="32"/>
      <c r="Q146" s="22"/>
      <c r="R146" s="22"/>
      <c r="S146" s="22"/>
      <c r="T146" s="22"/>
    </row>
    <row r="147" spans="1:13" ht="22.5">
      <c r="A147" s="117" t="s">
        <v>139</v>
      </c>
      <c r="B147" s="21" t="s">
        <v>71</v>
      </c>
      <c r="G147" s="106">
        <v>0.1</v>
      </c>
      <c r="H147" s="150" t="s">
        <v>146</v>
      </c>
      <c r="I147" s="177">
        <v>0.1</v>
      </c>
      <c r="J147" s="177"/>
      <c r="K147" s="177"/>
      <c r="L147" s="177"/>
      <c r="M147" s="32"/>
    </row>
    <row r="148" spans="1:13" ht="22.5">
      <c r="A148" s="117" t="s">
        <v>140</v>
      </c>
      <c r="B148" s="21" t="s">
        <v>188</v>
      </c>
      <c r="G148" s="106">
        <v>0.05</v>
      </c>
      <c r="H148" s="150" t="s">
        <v>144</v>
      </c>
      <c r="I148" s="177">
        <v>0.05</v>
      </c>
      <c r="J148" s="177"/>
      <c r="K148" s="177"/>
      <c r="L148" s="177"/>
      <c r="M148" s="32"/>
    </row>
    <row r="149" spans="1:13" ht="22.5">
      <c r="A149" s="117" t="s">
        <v>141</v>
      </c>
      <c r="B149" s="21" t="s">
        <v>280</v>
      </c>
      <c r="G149" s="106">
        <v>0.08</v>
      </c>
      <c r="H149" s="150" t="s">
        <v>145</v>
      </c>
      <c r="I149" s="177">
        <v>0.03</v>
      </c>
      <c r="J149" s="177"/>
      <c r="K149" s="177"/>
      <c r="L149" s="177"/>
      <c r="M149" s="32"/>
    </row>
    <row r="150" spans="1:12" ht="12" thickBot="1">
      <c r="A150" s="144"/>
      <c r="B150" s="90"/>
      <c r="C150" s="89"/>
      <c r="D150" s="89"/>
      <c r="E150" s="89"/>
      <c r="F150" s="89"/>
      <c r="G150" s="145"/>
      <c r="H150" s="138"/>
      <c r="I150" s="227"/>
      <c r="J150" s="227"/>
      <c r="K150" s="227"/>
      <c r="L150" s="227"/>
    </row>
    <row r="151" spans="1:12" ht="12" thickTop="1">
      <c r="A151" s="67"/>
      <c r="B151" s="10" t="s">
        <v>72</v>
      </c>
      <c r="G151" s="107"/>
      <c r="H151" s="151"/>
      <c r="I151" s="204"/>
      <c r="J151" s="204"/>
      <c r="K151" s="204"/>
      <c r="L151" s="204"/>
    </row>
    <row r="152" spans="1:12" ht="12" thickBot="1">
      <c r="A152" s="152"/>
      <c r="B152" s="89"/>
      <c r="C152" s="89"/>
      <c r="D152" s="89"/>
      <c r="E152" s="89"/>
      <c r="F152" s="89"/>
      <c r="G152" s="145"/>
      <c r="H152" s="153"/>
      <c r="I152" s="259"/>
      <c r="J152" s="259"/>
      <c r="K152" s="259"/>
      <c r="L152" s="259"/>
    </row>
    <row r="153" spans="1:12" ht="12" thickTop="1">
      <c r="A153" s="159" t="s">
        <v>143</v>
      </c>
      <c r="B153" s="3"/>
      <c r="C153" s="3"/>
      <c r="D153" s="3"/>
      <c r="E153" s="92"/>
      <c r="F153" s="92"/>
      <c r="G153" s="147"/>
      <c r="H153" s="154"/>
      <c r="I153" s="258"/>
      <c r="J153" s="258"/>
      <c r="K153" s="258"/>
      <c r="L153" s="258"/>
    </row>
    <row r="154" spans="1:12" ht="12" thickBot="1">
      <c r="A154" s="117"/>
      <c r="G154" s="107"/>
      <c r="H154" s="138"/>
      <c r="I154" s="260"/>
      <c r="J154" s="260"/>
      <c r="K154" s="260"/>
      <c r="L154" s="260"/>
    </row>
    <row r="155" spans="1:16" ht="12.75" thickBot="1" thickTop="1">
      <c r="A155" s="160" t="s">
        <v>6</v>
      </c>
      <c r="B155" s="27"/>
      <c r="C155" s="27"/>
      <c r="D155" s="27"/>
      <c r="E155" s="27"/>
      <c r="F155" s="27"/>
      <c r="G155" s="155"/>
      <c r="H155" s="156"/>
      <c r="I155" s="261"/>
      <c r="J155" s="261"/>
      <c r="K155" s="261"/>
      <c r="L155" s="261"/>
      <c r="M155" s="22"/>
      <c r="N155" s="22"/>
      <c r="O155" s="22"/>
      <c r="P155" s="22"/>
    </row>
    <row r="156" s="22" customFormat="1" ht="12" thickTop="1"/>
    <row r="157" s="22" customFormat="1" ht="11.25"/>
    <row r="158" s="22" customFormat="1" ht="12">
      <c r="A158" s="30"/>
    </row>
    <row r="159" s="22" customFormat="1" ht="11.25">
      <c r="A159" s="128"/>
    </row>
    <row r="160" s="22" customFormat="1" ht="12">
      <c r="A160" s="25"/>
    </row>
    <row r="161" s="22" customFormat="1" ht="11.25">
      <c r="A161" s="128"/>
    </row>
    <row r="162" s="22" customFormat="1" ht="11.25">
      <c r="A162" s="128"/>
    </row>
    <row r="163" s="22" customFormat="1" ht="12">
      <c r="A163" s="36"/>
    </row>
    <row r="164" spans="1:16" s="22" customFormat="1" ht="11.25">
      <c r="A164" s="128"/>
      <c r="M164" s="10"/>
      <c r="N164" s="10"/>
      <c r="O164" s="10"/>
      <c r="P164" s="10"/>
    </row>
    <row r="169" spans="13:16" ht="11.25">
      <c r="M169" s="22"/>
      <c r="N169" s="22"/>
      <c r="O169" s="22"/>
      <c r="P169" s="22"/>
    </row>
    <row r="170" s="22" customFormat="1" ht="11.25">
      <c r="A170" s="128"/>
    </row>
    <row r="171" s="22" customFormat="1" ht="11.25">
      <c r="A171" s="128"/>
    </row>
    <row r="172" s="22" customFormat="1" ht="11.25">
      <c r="A172" s="128"/>
    </row>
    <row r="173" s="22" customFormat="1" ht="11.25">
      <c r="A173" s="128"/>
    </row>
    <row r="174" s="22" customFormat="1" ht="11.25">
      <c r="A174" s="128"/>
    </row>
    <row r="175" s="22" customFormat="1" ht="11.25">
      <c r="A175" s="128"/>
    </row>
    <row r="176" s="22" customFormat="1" ht="11.25">
      <c r="A176" s="128"/>
    </row>
    <row r="177" s="22" customFormat="1" ht="11.25">
      <c r="A177" s="128"/>
    </row>
    <row r="178" s="22" customFormat="1" ht="11.25">
      <c r="A178" s="128"/>
    </row>
    <row r="179" s="22" customFormat="1" ht="11.25">
      <c r="A179" s="128"/>
    </row>
    <row r="180" s="22" customFormat="1" ht="11.25">
      <c r="A180" s="128"/>
    </row>
    <row r="181" s="22" customFormat="1" ht="11.25">
      <c r="A181" s="128"/>
    </row>
    <row r="182" s="22" customFormat="1" ht="11.25">
      <c r="A182" s="128"/>
    </row>
    <row r="183" s="22" customFormat="1" ht="11.25">
      <c r="A183" s="128"/>
    </row>
    <row r="184" s="22" customFormat="1" ht="11.25">
      <c r="A184" s="128"/>
    </row>
    <row r="185" s="22" customFormat="1" ht="11.25">
      <c r="A185" s="128"/>
    </row>
    <row r="186" s="22" customFormat="1" ht="11.25">
      <c r="A186" s="128"/>
    </row>
    <row r="187" s="22" customFormat="1" ht="11.25">
      <c r="A187" s="128"/>
    </row>
    <row r="188" s="22" customFormat="1" ht="11.25">
      <c r="A188" s="128"/>
    </row>
    <row r="189" s="22" customFormat="1" ht="11.25">
      <c r="A189" s="128"/>
    </row>
    <row r="190" s="22" customFormat="1" ht="11.25">
      <c r="A190" s="128"/>
    </row>
    <row r="191" s="22" customFormat="1" ht="11.25">
      <c r="A191" s="128"/>
    </row>
    <row r="192" s="22" customFormat="1" ht="11.25">
      <c r="A192" s="128"/>
    </row>
    <row r="193" s="22" customFormat="1" ht="11.25">
      <c r="A193" s="128"/>
    </row>
    <row r="194" s="22" customFormat="1" ht="11.25">
      <c r="A194" s="128"/>
    </row>
    <row r="195" s="22" customFormat="1" ht="11.25">
      <c r="A195" s="128"/>
    </row>
    <row r="196" s="22" customFormat="1" ht="11.25">
      <c r="A196" s="128"/>
    </row>
    <row r="197" s="22" customFormat="1" ht="11.25">
      <c r="A197" s="128"/>
    </row>
    <row r="198" s="22" customFormat="1" ht="11.25">
      <c r="A198" s="128"/>
    </row>
    <row r="199" s="22" customFormat="1" ht="11.25">
      <c r="A199" s="128"/>
    </row>
    <row r="200" s="22" customFormat="1" ht="11.25">
      <c r="A200" s="128"/>
    </row>
    <row r="201" s="22" customFormat="1" ht="11.25">
      <c r="A201" s="128"/>
    </row>
    <row r="202" s="22" customFormat="1" ht="11.25">
      <c r="A202" s="128"/>
    </row>
    <row r="203" s="22" customFormat="1" ht="11.25">
      <c r="A203" s="128"/>
    </row>
    <row r="204" s="22" customFormat="1" ht="11.25">
      <c r="A204" s="128"/>
    </row>
    <row r="205" s="22" customFormat="1" ht="11.25">
      <c r="A205" s="128"/>
    </row>
    <row r="206" s="22" customFormat="1" ht="11.25">
      <c r="A206" s="128"/>
    </row>
    <row r="207" s="22" customFormat="1" ht="11.25">
      <c r="A207" s="128"/>
    </row>
    <row r="208" s="22" customFormat="1" ht="11.25">
      <c r="A208" s="128"/>
    </row>
    <row r="209" s="22" customFormat="1" ht="11.25">
      <c r="A209" s="128"/>
    </row>
    <row r="210" s="22" customFormat="1" ht="11.25">
      <c r="A210" s="128"/>
    </row>
    <row r="211" s="22" customFormat="1" ht="11.25">
      <c r="A211" s="128"/>
    </row>
    <row r="212" s="22" customFormat="1" ht="11.25">
      <c r="A212" s="128"/>
    </row>
    <row r="213" s="22" customFormat="1" ht="11.25">
      <c r="A213" s="128"/>
    </row>
    <row r="214" s="22" customFormat="1" ht="11.25"/>
    <row r="215" s="22" customFormat="1" ht="11.25"/>
    <row r="216" s="22" customFormat="1" ht="11.25"/>
    <row r="217" s="22" customFormat="1" ht="11.25"/>
    <row r="218" s="22" customFormat="1" ht="11.25"/>
    <row r="219" s="22" customFormat="1" ht="11.25"/>
    <row r="220" s="22" customFormat="1" ht="11.25"/>
    <row r="221" s="22" customFormat="1" ht="11.25"/>
    <row r="222" s="22" customFormat="1" ht="11.25"/>
    <row r="223" s="22" customFormat="1" ht="11.25"/>
    <row r="224" s="22" customFormat="1" ht="11.25"/>
    <row r="225" s="22" customFormat="1" ht="11.25"/>
    <row r="226" s="22" customFormat="1" ht="11.25"/>
    <row r="227" s="22" customFormat="1" ht="11.25"/>
    <row r="228" s="22" customFormat="1" ht="11.25"/>
    <row r="229" s="22" customFormat="1" ht="11.25"/>
    <row r="230" s="22" customFormat="1" ht="11.25"/>
    <row r="231" s="22" customFormat="1" ht="11.25"/>
    <row r="232" s="22" customFormat="1" ht="11.25"/>
    <row r="233" s="22" customFormat="1" ht="11.25"/>
    <row r="234" s="22" customFormat="1" ht="11.25"/>
    <row r="235" s="22" customFormat="1" ht="11.25"/>
    <row r="236" s="22" customFormat="1" ht="11.25"/>
    <row r="237" s="22" customFormat="1" ht="11.25"/>
    <row r="238" s="22" customFormat="1" ht="11.25"/>
    <row r="239" s="22" customFormat="1" ht="11.25"/>
    <row r="240" s="22" customFormat="1" ht="11.25"/>
    <row r="241" s="22" customFormat="1" ht="11.25"/>
    <row r="242" spans="13:16" s="22" customFormat="1" ht="11.25">
      <c r="M242" s="10"/>
      <c r="N242" s="10"/>
      <c r="O242" s="10"/>
      <c r="P242" s="10"/>
    </row>
  </sheetData>
  <mergeCells count="6">
    <mergeCell ref="K5:K6"/>
    <mergeCell ref="L5:L6"/>
    <mergeCell ref="C5:D6"/>
    <mergeCell ref="H5:H6"/>
    <mergeCell ref="I5:I6"/>
    <mergeCell ref="J5:J6"/>
  </mergeCells>
  <printOptions/>
  <pageMargins left="0.75" right="0.75" top="1" bottom="1" header="0.5" footer="0.5"/>
  <pageSetup fitToHeight="0" fitToWidth="1" horizontalDpi="1200" verticalDpi="1200" orientation="portrait" scale="47" r:id="rId3"/>
  <headerFooter alignWithMargins="0">
    <oddFooter>&amp;L&amp;"Braggadocio,Regular"CSP&amp;X2&amp;RPage &amp;P of &amp;N</oddFooter>
  </headerFooter>
  <rowBreaks count="1" manualBreakCount="1">
    <brk id="74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3"/>
  <sheetViews>
    <sheetView zoomScale="70" zoomScaleNormal="7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" sqref="A1"/>
    </sheetView>
  </sheetViews>
  <sheetFormatPr defaultColWidth="9.33203125" defaultRowHeight="12.75"/>
  <cols>
    <col min="1" max="1" width="9.33203125" style="10" customWidth="1"/>
    <col min="2" max="2" width="8.83203125" style="10" customWidth="1"/>
    <col min="3" max="5" width="9.33203125" style="10" customWidth="1"/>
    <col min="6" max="6" width="17.16015625" style="10" customWidth="1"/>
    <col min="7" max="7" width="5.33203125" style="10" customWidth="1"/>
    <col min="8" max="8" width="24.16015625" style="10" customWidth="1"/>
    <col min="9" max="9" width="5.16015625" style="10" customWidth="1"/>
    <col min="10" max="10" width="24.16015625" style="10" customWidth="1"/>
    <col min="11" max="11" width="5.16015625" style="10" customWidth="1"/>
    <col min="12" max="12" width="24.16015625" style="10" customWidth="1"/>
    <col min="13" max="13" width="6.66015625" style="10" customWidth="1"/>
    <col min="14" max="14" width="24.16015625" style="10" customWidth="1"/>
    <col min="15" max="15" width="5.16015625" style="10" customWidth="1"/>
    <col min="16" max="16" width="24.16015625" style="10" customWidth="1"/>
    <col min="17" max="16384" width="9.33203125" style="10" customWidth="1"/>
  </cols>
  <sheetData>
    <row r="1" spans="1:16" ht="12">
      <c r="A1" s="131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5" ht="12">
      <c r="A2" s="87" t="s">
        <v>106</v>
      </c>
      <c r="B2" s="87"/>
      <c r="C2" s="87"/>
      <c r="D2" s="87"/>
      <c r="E2" s="87"/>
      <c r="F2" s="21"/>
      <c r="G2" s="21"/>
      <c r="H2" s="63"/>
      <c r="I2" s="63"/>
      <c r="K2" s="63"/>
      <c r="M2" s="63"/>
      <c r="O2" s="63"/>
    </row>
    <row r="3" spans="8:16" ht="11.25">
      <c r="H3" s="64"/>
      <c r="I3" s="264"/>
      <c r="J3" s="22"/>
      <c r="K3" s="264"/>
      <c r="L3" s="22"/>
      <c r="M3" s="264"/>
      <c r="N3" s="22"/>
      <c r="O3" s="264"/>
      <c r="P3" s="22"/>
    </row>
    <row r="4" spans="9:16" ht="11.25">
      <c r="I4" s="92"/>
      <c r="J4" s="92"/>
      <c r="K4" s="92"/>
      <c r="L4" s="92"/>
      <c r="M4" s="92"/>
      <c r="N4" s="92"/>
      <c r="O4" s="92"/>
      <c r="P4" s="92"/>
    </row>
    <row r="5" spans="1:16" ht="36" customHeight="1">
      <c r="A5" s="161"/>
      <c r="B5" s="66"/>
      <c r="C5" s="66"/>
      <c r="D5" s="66"/>
      <c r="E5" s="66"/>
      <c r="F5" s="66"/>
      <c r="G5" s="66"/>
      <c r="H5" s="47" t="s">
        <v>107</v>
      </c>
      <c r="I5" s="344" t="s">
        <v>218</v>
      </c>
      <c r="J5" s="345"/>
      <c r="K5" s="344" t="s">
        <v>247</v>
      </c>
      <c r="L5" s="345"/>
      <c r="M5" s="346" t="s">
        <v>246</v>
      </c>
      <c r="N5" s="347"/>
      <c r="O5" s="346" t="s">
        <v>245</v>
      </c>
      <c r="P5" s="347"/>
    </row>
    <row r="6" spans="1:16" ht="12.75">
      <c r="A6" s="2" t="s">
        <v>2</v>
      </c>
      <c r="B6" s="3"/>
      <c r="C6" s="343" t="s">
        <v>1</v>
      </c>
      <c r="D6" s="343"/>
      <c r="E6" s="3"/>
      <c r="F6" s="3"/>
      <c r="G6" s="3"/>
      <c r="H6" s="48" t="s">
        <v>6</v>
      </c>
      <c r="I6" s="344" t="s">
        <v>6</v>
      </c>
      <c r="J6" s="345"/>
      <c r="K6" s="344" t="s">
        <v>6</v>
      </c>
      <c r="L6" s="345"/>
      <c r="M6" s="344" t="s">
        <v>6</v>
      </c>
      <c r="N6" s="345"/>
      <c r="O6" s="344" t="s">
        <v>6</v>
      </c>
      <c r="P6" s="345"/>
    </row>
    <row r="7" spans="1:16" ht="11.25">
      <c r="A7" s="67"/>
      <c r="H7" s="68"/>
      <c r="I7" s="138"/>
      <c r="J7" s="136"/>
      <c r="K7" s="138"/>
      <c r="L7" s="136"/>
      <c r="M7" s="138"/>
      <c r="N7" s="136"/>
      <c r="O7" s="138"/>
      <c r="P7" s="136"/>
    </row>
    <row r="8" spans="1:16" ht="12">
      <c r="A8" s="146">
        <v>1</v>
      </c>
      <c r="B8" s="3" t="s">
        <v>79</v>
      </c>
      <c r="C8" s="3"/>
      <c r="D8" s="3"/>
      <c r="E8" s="3"/>
      <c r="F8" s="3"/>
      <c r="G8" s="3"/>
      <c r="H8" s="51">
        <v>0</v>
      </c>
      <c r="I8" s="213"/>
      <c r="J8" s="214">
        <v>0</v>
      </c>
      <c r="K8" s="213"/>
      <c r="L8" s="214">
        <v>0</v>
      </c>
      <c r="M8" s="213"/>
      <c r="N8" s="214">
        <v>0</v>
      </c>
      <c r="O8" s="213"/>
      <c r="P8" s="214">
        <v>0</v>
      </c>
    </row>
    <row r="9" spans="1:16" ht="11.25">
      <c r="A9" s="67"/>
      <c r="H9" s="68"/>
      <c r="I9" s="138"/>
      <c r="J9" s="107"/>
      <c r="K9" s="138"/>
      <c r="L9" s="107"/>
      <c r="M9" s="138"/>
      <c r="N9" s="107"/>
      <c r="O9" s="138"/>
      <c r="P9" s="107"/>
    </row>
    <row r="10" spans="1:16" ht="12">
      <c r="A10" s="117">
        <v>2</v>
      </c>
      <c r="B10" s="8" t="s">
        <v>80</v>
      </c>
      <c r="C10" s="8"/>
      <c r="D10" s="8"/>
      <c r="H10" s="112">
        <v>2415122</v>
      </c>
      <c r="I10" s="206"/>
      <c r="J10" s="209">
        <v>2415122</v>
      </c>
      <c r="K10" s="206"/>
      <c r="L10" s="209">
        <v>2415122</v>
      </c>
      <c r="M10" s="206"/>
      <c r="N10" s="209">
        <f>483024*50</f>
        <v>24151200</v>
      </c>
      <c r="O10" s="206"/>
      <c r="P10" s="209">
        <f>483024*100</f>
        <v>48302400</v>
      </c>
    </row>
    <row r="11" spans="1:16" ht="11.25">
      <c r="A11" s="117" t="s">
        <v>23</v>
      </c>
      <c r="B11" s="10" t="s">
        <v>81</v>
      </c>
      <c r="H11" s="112"/>
      <c r="I11" s="206"/>
      <c r="J11" s="209"/>
      <c r="K11" s="206"/>
      <c r="L11" s="209"/>
      <c r="M11" s="206"/>
      <c r="N11" s="209"/>
      <c r="O11" s="206"/>
      <c r="P11" s="209"/>
    </row>
    <row r="12" spans="1:16" ht="11.25">
      <c r="A12" s="117" t="s">
        <v>36</v>
      </c>
      <c r="B12" s="10" t="s">
        <v>82</v>
      </c>
      <c r="H12" s="112"/>
      <c r="I12" s="206"/>
      <c r="J12" s="209"/>
      <c r="K12" s="206"/>
      <c r="L12" s="209"/>
      <c r="M12" s="206"/>
      <c r="N12" s="209"/>
      <c r="O12" s="206"/>
      <c r="P12" s="209"/>
    </row>
    <row r="13" spans="1:16" ht="11.25">
      <c r="A13" s="117" t="s">
        <v>37</v>
      </c>
      <c r="B13" s="10" t="s">
        <v>83</v>
      </c>
      <c r="H13" s="112"/>
      <c r="I13" s="206"/>
      <c r="J13" s="209"/>
      <c r="K13" s="206"/>
      <c r="L13" s="209"/>
      <c r="M13" s="206"/>
      <c r="N13" s="209"/>
      <c r="O13" s="206"/>
      <c r="P13" s="209"/>
    </row>
    <row r="14" spans="1:16" ht="11.25">
      <c r="A14" s="117" t="s">
        <v>38</v>
      </c>
      <c r="B14" s="10" t="s">
        <v>84</v>
      </c>
      <c r="H14" s="112"/>
      <c r="I14" s="206"/>
      <c r="J14" s="209"/>
      <c r="K14" s="206"/>
      <c r="L14" s="209"/>
      <c r="M14" s="206"/>
      <c r="N14" s="209"/>
      <c r="O14" s="206"/>
      <c r="P14" s="209"/>
    </row>
    <row r="15" spans="1:16" ht="12" thickBot="1">
      <c r="A15" s="144" t="s">
        <v>39</v>
      </c>
      <c r="B15" s="89" t="s">
        <v>85</v>
      </c>
      <c r="C15" s="89"/>
      <c r="D15" s="89"/>
      <c r="E15" s="89"/>
      <c r="F15" s="89"/>
      <c r="G15" s="89"/>
      <c r="H15" s="162"/>
      <c r="I15" s="215"/>
      <c r="J15" s="216"/>
      <c r="K15" s="215"/>
      <c r="L15" s="216"/>
      <c r="M15" s="215"/>
      <c r="N15" s="216"/>
      <c r="O15" s="215"/>
      <c r="P15" s="216"/>
    </row>
    <row r="16" spans="1:16" ht="12" thickTop="1">
      <c r="A16" s="146"/>
      <c r="B16" s="80" t="s">
        <v>86</v>
      </c>
      <c r="C16" s="80"/>
      <c r="D16" s="80"/>
      <c r="E16" s="80"/>
      <c r="F16" s="92"/>
      <c r="G16" s="92"/>
      <c r="H16" s="51">
        <f>SUM(H10:H15)</f>
        <v>2415122</v>
      </c>
      <c r="I16" s="213"/>
      <c r="J16" s="214">
        <f>SUM(J10:J15)</f>
        <v>2415122</v>
      </c>
      <c r="K16" s="213"/>
      <c r="L16" s="214">
        <f>SUM(L10:L15)</f>
        <v>2415122</v>
      </c>
      <c r="M16" s="213"/>
      <c r="N16" s="214">
        <f>SUM(N10:N15)</f>
        <v>24151200</v>
      </c>
      <c r="O16" s="213"/>
      <c r="P16" s="214">
        <f>SUM(P10:P15)</f>
        <v>48302400</v>
      </c>
    </row>
    <row r="17" spans="1:16" ht="11.25">
      <c r="A17" s="117"/>
      <c r="H17" s="112"/>
      <c r="I17" s="206"/>
      <c r="J17" s="209"/>
      <c r="K17" s="206"/>
      <c r="L17" s="209"/>
      <c r="M17" s="206"/>
      <c r="N17" s="209"/>
      <c r="O17" s="206"/>
      <c r="P17" s="209"/>
    </row>
    <row r="18" spans="1:16" ht="12">
      <c r="A18" s="117">
        <v>3</v>
      </c>
      <c r="B18" s="8" t="s">
        <v>87</v>
      </c>
      <c r="C18" s="8"/>
      <c r="D18" s="8"/>
      <c r="E18" s="8"/>
      <c r="H18" s="112"/>
      <c r="I18" s="206"/>
      <c r="J18" s="209"/>
      <c r="K18" s="206"/>
      <c r="L18" s="209"/>
      <c r="M18" s="206"/>
      <c r="N18" s="209"/>
      <c r="O18" s="206"/>
      <c r="P18" s="209"/>
    </row>
    <row r="19" spans="1:16" ht="11.25">
      <c r="A19" s="117" t="s">
        <v>43</v>
      </c>
      <c r="B19" s="10" t="s">
        <v>81</v>
      </c>
      <c r="H19" s="112">
        <f>203484</f>
        <v>203484</v>
      </c>
      <c r="I19" s="206"/>
      <c r="J19" s="209">
        <f>203484</f>
        <v>203484</v>
      </c>
      <c r="K19" s="206"/>
      <c r="L19" s="209">
        <f>203484</f>
        <v>203484</v>
      </c>
      <c r="M19" s="206"/>
      <c r="N19" s="209">
        <f>40697*50</f>
        <v>2034850</v>
      </c>
      <c r="O19" s="206"/>
      <c r="P19" s="209">
        <f>40697*100</f>
        <v>4069700</v>
      </c>
    </row>
    <row r="20" spans="1:16" ht="11.25">
      <c r="A20" s="117" t="s">
        <v>44</v>
      </c>
      <c r="B20" s="10" t="s">
        <v>83</v>
      </c>
      <c r="H20" s="112"/>
      <c r="I20" s="206"/>
      <c r="J20" s="209"/>
      <c r="K20" s="206"/>
      <c r="L20" s="209"/>
      <c r="M20" s="206"/>
      <c r="N20" s="209"/>
      <c r="O20" s="206"/>
      <c r="P20" s="209"/>
    </row>
    <row r="21" spans="1:16" ht="11.25">
      <c r="A21" s="117" t="s">
        <v>45</v>
      </c>
      <c r="B21" s="10" t="s">
        <v>85</v>
      </c>
      <c r="H21" s="112"/>
      <c r="I21" s="206"/>
      <c r="J21" s="209"/>
      <c r="K21" s="206"/>
      <c r="L21" s="209"/>
      <c r="M21" s="206"/>
      <c r="N21" s="209"/>
      <c r="O21" s="206"/>
      <c r="P21" s="209"/>
    </row>
    <row r="22" spans="1:16" ht="11.25">
      <c r="A22" s="117" t="s">
        <v>88</v>
      </c>
      <c r="B22" s="10" t="s">
        <v>89</v>
      </c>
      <c r="H22" s="112"/>
      <c r="I22" s="206"/>
      <c r="J22" s="209"/>
      <c r="K22" s="206"/>
      <c r="L22" s="209"/>
      <c r="M22" s="206"/>
      <c r="N22" s="209"/>
      <c r="O22" s="206"/>
      <c r="P22" s="209"/>
    </row>
    <row r="23" spans="1:16" ht="11.25">
      <c r="A23" s="117" t="s">
        <v>90</v>
      </c>
      <c r="B23" s="10" t="s">
        <v>91</v>
      </c>
      <c r="H23" s="112"/>
      <c r="I23" s="206"/>
      <c r="J23" s="209"/>
      <c r="K23" s="206"/>
      <c r="L23" s="209"/>
      <c r="M23" s="206"/>
      <c r="N23" s="209"/>
      <c r="O23" s="206"/>
      <c r="P23" s="209"/>
    </row>
    <row r="24" spans="1:16" ht="12" thickBot="1">
      <c r="A24" s="117" t="s">
        <v>92</v>
      </c>
      <c r="B24" s="10" t="s">
        <v>93</v>
      </c>
      <c r="H24" s="112"/>
      <c r="I24" s="206"/>
      <c r="J24" s="209"/>
      <c r="K24" s="206"/>
      <c r="L24" s="209"/>
      <c r="M24" s="206"/>
      <c r="N24" s="209"/>
      <c r="O24" s="206"/>
      <c r="P24" s="209"/>
    </row>
    <row r="25" spans="1:16" ht="12" thickTop="1">
      <c r="A25" s="139"/>
      <c r="B25" s="80" t="s">
        <v>94</v>
      </c>
      <c r="C25" s="80"/>
      <c r="D25" s="80"/>
      <c r="E25" s="80"/>
      <c r="F25" s="80"/>
      <c r="G25" s="80"/>
      <c r="H25" s="50">
        <f>SUM(H19:H23)</f>
        <v>203484</v>
      </c>
      <c r="I25" s="217"/>
      <c r="J25" s="218">
        <f>SUM(J19:J23)</f>
        <v>203484</v>
      </c>
      <c r="K25" s="217"/>
      <c r="L25" s="218">
        <f>SUM(L19:L23)</f>
        <v>203484</v>
      </c>
      <c r="M25" s="217"/>
      <c r="N25" s="218">
        <f>SUM(N19:N23)</f>
        <v>2034850</v>
      </c>
      <c r="O25" s="217"/>
      <c r="P25" s="218">
        <f>SUM(P19:P23)</f>
        <v>4069700</v>
      </c>
    </row>
    <row r="26" spans="1:16" ht="11.25">
      <c r="A26" s="117"/>
      <c r="H26" s="112"/>
      <c r="I26" s="206"/>
      <c r="J26" s="209"/>
      <c r="K26" s="206"/>
      <c r="L26" s="209"/>
      <c r="M26" s="206"/>
      <c r="N26" s="209"/>
      <c r="O26" s="206"/>
      <c r="P26" s="209"/>
    </row>
    <row r="27" spans="1:16" ht="12">
      <c r="A27" s="117">
        <v>4</v>
      </c>
      <c r="B27" s="8" t="s">
        <v>95</v>
      </c>
      <c r="C27" s="8"/>
      <c r="D27" s="8"/>
      <c r="E27" s="8"/>
      <c r="F27" s="8"/>
      <c r="G27" s="8"/>
      <c r="H27" s="112"/>
      <c r="I27" s="206"/>
      <c r="J27" s="209"/>
      <c r="K27" s="206"/>
      <c r="L27" s="209"/>
      <c r="M27" s="206"/>
      <c r="N27" s="209"/>
      <c r="O27" s="206"/>
      <c r="P27" s="209"/>
    </row>
    <row r="28" spans="1:16" ht="11.25">
      <c r="A28" s="117" t="s">
        <v>51</v>
      </c>
      <c r="B28" s="10" t="s">
        <v>96</v>
      </c>
      <c r="H28" s="112">
        <f>187204</f>
        <v>187204</v>
      </c>
      <c r="I28" s="206"/>
      <c r="J28" s="209">
        <f>187204</f>
        <v>187204</v>
      </c>
      <c r="K28" s="206"/>
      <c r="L28" s="209">
        <f>187204</f>
        <v>187204</v>
      </c>
      <c r="M28" s="206"/>
      <c r="N28" s="209">
        <v>2649125</v>
      </c>
      <c r="O28" s="257"/>
      <c r="P28" s="209">
        <v>6167540</v>
      </c>
    </row>
    <row r="29" spans="1:16" ht="11.25">
      <c r="A29" s="117" t="s">
        <v>52</v>
      </c>
      <c r="B29" s="10" t="s">
        <v>123</v>
      </c>
      <c r="H29" s="112">
        <f>51362</f>
        <v>51362</v>
      </c>
      <c r="I29" s="206"/>
      <c r="J29" s="209">
        <f>51362</f>
        <v>51362</v>
      </c>
      <c r="K29" s="206"/>
      <c r="L29" s="209">
        <f>51362</f>
        <v>51362</v>
      </c>
      <c r="M29" s="206"/>
      <c r="N29" s="209">
        <v>96680</v>
      </c>
      <c r="O29" s="206"/>
      <c r="P29" s="209">
        <v>287635</v>
      </c>
    </row>
    <row r="30" spans="1:16" ht="11.25">
      <c r="A30" s="117" t="s">
        <v>53</v>
      </c>
      <c r="B30" s="10" t="s">
        <v>124</v>
      </c>
      <c r="H30" s="112"/>
      <c r="I30" s="206"/>
      <c r="J30" s="209"/>
      <c r="K30" s="206"/>
      <c r="L30" s="209"/>
      <c r="M30" s="206"/>
      <c r="N30" s="256"/>
      <c r="O30" s="257"/>
      <c r="P30" s="256"/>
    </row>
    <row r="31" spans="1:16" ht="11.25">
      <c r="A31" s="117" t="s">
        <v>97</v>
      </c>
      <c r="C31" s="10" t="s">
        <v>3</v>
      </c>
      <c r="H31" s="112">
        <f>0.42*104974</f>
        <v>44089.08</v>
      </c>
      <c r="I31" s="206"/>
      <c r="J31" s="209">
        <f>0.42*104974</f>
        <v>44089.08</v>
      </c>
      <c r="K31" s="206"/>
      <c r="L31" s="209">
        <f>0.42*104974</f>
        <v>44089.08</v>
      </c>
      <c r="M31" s="206"/>
      <c r="N31" s="209">
        <v>86541</v>
      </c>
      <c r="O31" s="206"/>
      <c r="P31" s="209">
        <v>268730</v>
      </c>
    </row>
    <row r="32" spans="1:16" ht="11.25">
      <c r="A32" s="117" t="s">
        <v>98</v>
      </c>
      <c r="C32" s="10" t="s">
        <v>4</v>
      </c>
      <c r="H32" s="112">
        <f>0.44*104974</f>
        <v>46188.56</v>
      </c>
      <c r="I32" s="206"/>
      <c r="J32" s="209">
        <f>0.44*104974</f>
        <v>46188.56</v>
      </c>
      <c r="K32" s="206"/>
      <c r="L32" s="209">
        <f>0.44*104974</f>
        <v>46188.56</v>
      </c>
      <c r="M32" s="206"/>
      <c r="N32" s="209">
        <v>90662</v>
      </c>
      <c r="O32" s="206"/>
      <c r="P32" s="209">
        <v>281527</v>
      </c>
    </row>
    <row r="33" spans="1:16" ht="11.25">
      <c r="A33" s="117" t="s">
        <v>99</v>
      </c>
      <c r="C33" s="10" t="s">
        <v>126</v>
      </c>
      <c r="H33" s="112">
        <f>0.05*104974</f>
        <v>5248.700000000001</v>
      </c>
      <c r="I33" s="206"/>
      <c r="J33" s="209">
        <f>0.05*104974</f>
        <v>5248.700000000001</v>
      </c>
      <c r="K33" s="206"/>
      <c r="L33" s="209">
        <f>0.05*104974</f>
        <v>5248.700000000001</v>
      </c>
      <c r="M33" s="206"/>
      <c r="N33" s="209">
        <v>10302</v>
      </c>
      <c r="O33" s="206"/>
      <c r="P33" s="209">
        <v>31992</v>
      </c>
    </row>
    <row r="34" spans="1:16" ht="12" thickBot="1">
      <c r="A34" s="144" t="s">
        <v>125</v>
      </c>
      <c r="B34" s="89"/>
      <c r="C34" s="89" t="s">
        <v>127</v>
      </c>
      <c r="D34" s="89"/>
      <c r="E34" s="89"/>
      <c r="F34" s="89"/>
      <c r="G34" s="89"/>
      <c r="H34" s="162">
        <f>0.09*104974</f>
        <v>9447.66</v>
      </c>
      <c r="I34" s="215"/>
      <c r="J34" s="216">
        <f>0.09*104974</f>
        <v>9447.66</v>
      </c>
      <c r="K34" s="215"/>
      <c r="L34" s="216">
        <f>0.09*104974</f>
        <v>9447.66</v>
      </c>
      <c r="M34" s="215"/>
      <c r="N34" s="216">
        <v>18544</v>
      </c>
      <c r="O34" s="215"/>
      <c r="P34" s="216">
        <v>57585</v>
      </c>
    </row>
    <row r="35" spans="1:16" ht="12" thickBot="1" thickTop="1">
      <c r="A35" s="117"/>
      <c r="B35" s="132" t="s">
        <v>100</v>
      </c>
      <c r="C35" s="132"/>
      <c r="D35" s="132"/>
      <c r="E35" s="132"/>
      <c r="F35" s="132"/>
      <c r="G35" s="132"/>
      <c r="H35" s="49">
        <f>SUM(H28:H34)</f>
        <v>343540</v>
      </c>
      <c r="I35" s="219"/>
      <c r="J35" s="220">
        <f>SUM(J28:J34)</f>
        <v>343540</v>
      </c>
      <c r="K35" s="219"/>
      <c r="L35" s="220">
        <f>SUM(L28:L34)</f>
        <v>343540</v>
      </c>
      <c r="M35" s="219"/>
      <c r="N35" s="220">
        <f>SUM(N28:N34)</f>
        <v>2951854</v>
      </c>
      <c r="O35" s="219"/>
      <c r="P35" s="220">
        <f>SUM(P28:P34)</f>
        <v>7095009</v>
      </c>
    </row>
    <row r="36" spans="1:16" ht="12" thickTop="1">
      <c r="A36" s="139"/>
      <c r="B36" s="80" t="s">
        <v>186</v>
      </c>
      <c r="C36" s="80"/>
      <c r="D36" s="80"/>
      <c r="E36" s="80"/>
      <c r="F36" s="80"/>
      <c r="G36" s="163"/>
      <c r="H36" s="50">
        <f>H8+H16+H25+H35</f>
        <v>2962146</v>
      </c>
      <c r="I36" s="217"/>
      <c r="J36" s="218">
        <f>J8+J16+J25+J35</f>
        <v>2962146</v>
      </c>
      <c r="K36" s="217"/>
      <c r="L36" s="218">
        <f>L8+L16+L25+L35</f>
        <v>2962146</v>
      </c>
      <c r="M36" s="217"/>
      <c r="N36" s="218">
        <f>N8+N16+N25+N35</f>
        <v>29137904</v>
      </c>
      <c r="O36" s="217"/>
      <c r="P36" s="218">
        <f>P8+P16+P25+P35</f>
        <v>59467109</v>
      </c>
    </row>
    <row r="37" spans="1:16" ht="12">
      <c r="A37" s="117"/>
      <c r="B37" s="12"/>
      <c r="C37" s="12"/>
      <c r="H37" s="164"/>
      <c r="I37" s="221"/>
      <c r="J37" s="222"/>
      <c r="K37" s="221"/>
      <c r="L37" s="222"/>
      <c r="M37" s="221"/>
      <c r="N37" s="222"/>
      <c r="O37" s="221"/>
      <c r="P37" s="222"/>
    </row>
    <row r="38" spans="1:26" ht="12">
      <c r="A38" s="117">
        <v>5</v>
      </c>
      <c r="B38" s="12" t="s">
        <v>66</v>
      </c>
      <c r="C38" s="25"/>
      <c r="D38" s="22"/>
      <c r="E38" s="22"/>
      <c r="F38" s="22"/>
      <c r="G38" s="22"/>
      <c r="H38" s="165"/>
      <c r="I38" s="43"/>
      <c r="J38" s="38"/>
      <c r="K38" s="43"/>
      <c r="L38" s="38"/>
      <c r="M38" s="43"/>
      <c r="N38" s="38"/>
      <c r="O38" s="43"/>
      <c r="P38" s="38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1.25">
      <c r="A39" s="117" t="s">
        <v>134</v>
      </c>
      <c r="B39" s="29" t="s">
        <v>187</v>
      </c>
      <c r="C39" s="19"/>
      <c r="D39" s="22"/>
      <c r="E39" s="22"/>
      <c r="F39" s="22"/>
      <c r="G39" s="166">
        <v>0.05</v>
      </c>
      <c r="H39" s="112">
        <f>0.05*H36</f>
        <v>148107.30000000002</v>
      </c>
      <c r="I39" s="223">
        <v>0.05</v>
      </c>
      <c r="J39" s="209">
        <f aca="true" t="shared" si="0" ref="J39:J45">$J$36*I39</f>
        <v>148107.30000000002</v>
      </c>
      <c r="K39" s="223">
        <v>0.05</v>
      </c>
      <c r="L39" s="209">
        <f>$L$36*K39</f>
        <v>148107.30000000002</v>
      </c>
      <c r="M39" s="223">
        <v>0.05</v>
      </c>
      <c r="N39" s="209">
        <f>$N$36*M39</f>
        <v>1456895.2000000002</v>
      </c>
      <c r="O39" s="223">
        <v>0.05</v>
      </c>
      <c r="P39" s="209">
        <f>$P$36*O39</f>
        <v>2973355.45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1.25">
      <c r="A40" s="117" t="s">
        <v>135</v>
      </c>
      <c r="B40" s="21" t="s">
        <v>67</v>
      </c>
      <c r="C40" s="22"/>
      <c r="D40" s="22"/>
      <c r="E40" s="22"/>
      <c r="F40" s="22"/>
      <c r="G40" s="166">
        <v>0.05</v>
      </c>
      <c r="H40" s="112">
        <f>0.05*H36</f>
        <v>148107.30000000002</v>
      </c>
      <c r="I40" s="223">
        <v>0.05</v>
      </c>
      <c r="J40" s="209">
        <f t="shared" si="0"/>
        <v>148107.30000000002</v>
      </c>
      <c r="K40" s="223">
        <v>0.05</v>
      </c>
      <c r="L40" s="209">
        <f aca="true" t="shared" si="1" ref="L40:L46">$L$36*K40</f>
        <v>148107.30000000002</v>
      </c>
      <c r="M40" s="223">
        <v>0.05</v>
      </c>
      <c r="N40" s="209">
        <f aca="true" t="shared" si="2" ref="N40:N46">$N$36*M40</f>
        <v>1456895.2000000002</v>
      </c>
      <c r="O40" s="223">
        <v>0.05</v>
      </c>
      <c r="P40" s="209">
        <f aca="true" t="shared" si="3" ref="P40:P46">$P$36*O40</f>
        <v>2973355.45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1.25">
      <c r="A41" s="117" t="s">
        <v>136</v>
      </c>
      <c r="B41" s="21" t="s">
        <v>68</v>
      </c>
      <c r="C41" s="22"/>
      <c r="D41" s="22"/>
      <c r="E41" s="22"/>
      <c r="F41" s="22"/>
      <c r="G41" s="22"/>
      <c r="H41" s="165"/>
      <c r="I41" s="223">
        <v>0.03</v>
      </c>
      <c r="J41" s="209">
        <f t="shared" si="0"/>
        <v>88864.37999999999</v>
      </c>
      <c r="K41" s="223">
        <v>0.03</v>
      </c>
      <c r="L41" s="209">
        <f t="shared" si="1"/>
        <v>88864.37999999999</v>
      </c>
      <c r="M41" s="223">
        <v>0.03</v>
      </c>
      <c r="N41" s="209">
        <f t="shared" si="2"/>
        <v>874137.12</v>
      </c>
      <c r="O41" s="223">
        <v>0.03</v>
      </c>
      <c r="P41" s="209">
        <f t="shared" si="3"/>
        <v>1784013.27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1.25">
      <c r="A42" s="117" t="s">
        <v>137</v>
      </c>
      <c r="B42" s="21" t="s">
        <v>69</v>
      </c>
      <c r="C42" s="22"/>
      <c r="D42" s="22"/>
      <c r="E42" s="22"/>
      <c r="F42" s="22"/>
      <c r="G42" s="22"/>
      <c r="H42" s="165"/>
      <c r="I42" s="223">
        <v>0.05</v>
      </c>
      <c r="J42" s="209">
        <f t="shared" si="0"/>
        <v>148107.30000000002</v>
      </c>
      <c r="K42" s="223">
        <v>0.05</v>
      </c>
      <c r="L42" s="209">
        <f t="shared" si="1"/>
        <v>148107.30000000002</v>
      </c>
      <c r="M42" s="223">
        <v>0.05</v>
      </c>
      <c r="N42" s="209">
        <f t="shared" si="2"/>
        <v>1456895.2000000002</v>
      </c>
      <c r="O42" s="223">
        <v>0.05</v>
      </c>
      <c r="P42" s="209">
        <f t="shared" si="3"/>
        <v>2973355.45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1.25">
      <c r="A43" s="117" t="s">
        <v>138</v>
      </c>
      <c r="B43" s="21" t="s">
        <v>70</v>
      </c>
      <c r="C43" s="22"/>
      <c r="D43" s="22"/>
      <c r="E43" s="22"/>
      <c r="F43" s="22"/>
      <c r="G43" s="22"/>
      <c r="H43" s="165"/>
      <c r="I43" s="223">
        <v>0.15</v>
      </c>
      <c r="J43" s="209">
        <f t="shared" si="0"/>
        <v>444321.89999999997</v>
      </c>
      <c r="K43" s="223">
        <v>0.15</v>
      </c>
      <c r="L43" s="209">
        <f t="shared" si="1"/>
        <v>444321.89999999997</v>
      </c>
      <c r="M43" s="223">
        <v>0.15</v>
      </c>
      <c r="N43" s="209">
        <f t="shared" si="2"/>
        <v>4370685.6</v>
      </c>
      <c r="O43" s="223">
        <v>0.15</v>
      </c>
      <c r="P43" s="209">
        <f t="shared" si="3"/>
        <v>8920066.35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1.25">
      <c r="A44" s="117" t="s">
        <v>139</v>
      </c>
      <c r="B44" s="21" t="s">
        <v>71</v>
      </c>
      <c r="C44" s="22"/>
      <c r="D44" s="22"/>
      <c r="E44" s="22"/>
      <c r="F44" s="22"/>
      <c r="G44" s="166">
        <v>0.1</v>
      </c>
      <c r="H44" s="112">
        <f>0.1*H36</f>
        <v>296214.60000000003</v>
      </c>
      <c r="I44" s="223">
        <v>0.1</v>
      </c>
      <c r="J44" s="209">
        <f t="shared" si="0"/>
        <v>296214.60000000003</v>
      </c>
      <c r="K44" s="223">
        <v>0.1</v>
      </c>
      <c r="L44" s="209">
        <f t="shared" si="1"/>
        <v>296214.60000000003</v>
      </c>
      <c r="M44" s="223">
        <v>0.1</v>
      </c>
      <c r="N44" s="209">
        <f t="shared" si="2"/>
        <v>2913790.4000000004</v>
      </c>
      <c r="O44" s="223">
        <v>0.1</v>
      </c>
      <c r="P44" s="209">
        <f t="shared" si="3"/>
        <v>5946710.9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1.25">
      <c r="A45" s="117" t="s">
        <v>140</v>
      </c>
      <c r="B45" s="21" t="s">
        <v>188</v>
      </c>
      <c r="C45" s="22"/>
      <c r="D45" s="22"/>
      <c r="E45" s="22"/>
      <c r="F45" s="22"/>
      <c r="G45" s="166">
        <v>0.05</v>
      </c>
      <c r="H45" s="112">
        <f>0.05*H36</f>
        <v>148107.30000000002</v>
      </c>
      <c r="I45" s="223">
        <v>0.05</v>
      </c>
      <c r="J45" s="209">
        <f t="shared" si="0"/>
        <v>148107.30000000002</v>
      </c>
      <c r="K45" s="223">
        <v>0.05</v>
      </c>
      <c r="L45" s="209">
        <f t="shared" si="1"/>
        <v>148107.30000000002</v>
      </c>
      <c r="M45" s="223">
        <v>0.05</v>
      </c>
      <c r="N45" s="209">
        <f t="shared" si="2"/>
        <v>1456895.2000000002</v>
      </c>
      <c r="O45" s="223">
        <v>0.05</v>
      </c>
      <c r="P45" s="209">
        <f t="shared" si="3"/>
        <v>2973355.45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1.25">
      <c r="A46" s="117" t="s">
        <v>141</v>
      </c>
      <c r="B46" s="21" t="s">
        <v>280</v>
      </c>
      <c r="C46" s="22"/>
      <c r="D46" s="22"/>
      <c r="E46" s="22"/>
      <c r="F46" s="22"/>
      <c r="G46" s="166">
        <v>0.08</v>
      </c>
      <c r="H46" s="112">
        <f>0.08*H36</f>
        <v>236971.68</v>
      </c>
      <c r="I46" s="223">
        <v>0.03</v>
      </c>
      <c r="J46" s="209">
        <f>$J$36*I46</f>
        <v>88864.37999999999</v>
      </c>
      <c r="K46" s="223">
        <v>0.03</v>
      </c>
      <c r="L46" s="209">
        <f t="shared" si="1"/>
        <v>88864.37999999999</v>
      </c>
      <c r="M46" s="223">
        <v>0.03</v>
      </c>
      <c r="N46" s="209">
        <f t="shared" si="2"/>
        <v>874137.12</v>
      </c>
      <c r="O46" s="223">
        <v>0.03</v>
      </c>
      <c r="P46" s="209">
        <f t="shared" si="3"/>
        <v>1784013.27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" thickBot="1">
      <c r="A47" s="117"/>
      <c r="B47" s="22"/>
      <c r="C47" s="22"/>
      <c r="D47" s="22"/>
      <c r="E47" s="22"/>
      <c r="F47" s="22"/>
      <c r="G47" s="22"/>
      <c r="H47" s="165"/>
      <c r="I47" s="43"/>
      <c r="J47" s="38"/>
      <c r="K47" s="43"/>
      <c r="L47" s="38"/>
      <c r="M47" s="43"/>
      <c r="N47" s="38"/>
      <c r="O47" s="43"/>
      <c r="P47" s="38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" thickTop="1">
      <c r="A48" s="172"/>
      <c r="B48" s="80" t="s">
        <v>72</v>
      </c>
      <c r="C48" s="80"/>
      <c r="D48" s="80"/>
      <c r="E48" s="80"/>
      <c r="F48" s="80"/>
      <c r="G48" s="167">
        <f>H48/H36</f>
        <v>0.33000000000000007</v>
      </c>
      <c r="H48" s="168">
        <f>SUM(H38:H47)</f>
        <v>977508.1800000002</v>
      </c>
      <c r="I48" s="224">
        <f>J48/J36</f>
        <v>0.51</v>
      </c>
      <c r="J48" s="225">
        <f>SUM(J38:J47)</f>
        <v>1510694.46</v>
      </c>
      <c r="K48" s="224">
        <f>L48/L36</f>
        <v>0.51</v>
      </c>
      <c r="L48" s="225">
        <f>SUM(L38:L47)</f>
        <v>1510694.46</v>
      </c>
      <c r="M48" s="224">
        <f>N48/N36</f>
        <v>0.51</v>
      </c>
      <c r="N48" s="225">
        <f>SUM(N38:N47)</f>
        <v>14860331.040000001</v>
      </c>
      <c r="O48" s="224">
        <f>P48/P36</f>
        <v>0.5099999999999999</v>
      </c>
      <c r="P48" s="225">
        <f>SUM(P38:P47)</f>
        <v>30328225.589999996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16" ht="11.25">
      <c r="A49" s="146"/>
      <c r="B49" s="92"/>
      <c r="C49" s="92"/>
      <c r="D49" s="92"/>
      <c r="E49" s="92"/>
      <c r="F49" s="92"/>
      <c r="G49" s="92"/>
      <c r="H49" s="51"/>
      <c r="I49" s="213"/>
      <c r="J49" s="214"/>
      <c r="K49" s="213"/>
      <c r="L49" s="214"/>
      <c r="M49" s="213"/>
      <c r="N49" s="214"/>
      <c r="O49" s="213"/>
      <c r="P49" s="214"/>
    </row>
    <row r="50" spans="1:16" ht="12">
      <c r="A50" s="117">
        <v>6</v>
      </c>
      <c r="B50" s="8" t="s">
        <v>101</v>
      </c>
      <c r="C50" s="8"/>
      <c r="D50" s="8"/>
      <c r="E50" s="8"/>
      <c r="F50" s="8"/>
      <c r="G50" s="8"/>
      <c r="H50" s="68"/>
      <c r="I50" s="138"/>
      <c r="J50" s="107"/>
      <c r="K50" s="138"/>
      <c r="L50" s="107"/>
      <c r="M50" s="138"/>
      <c r="N50" s="107"/>
      <c r="O50" s="138"/>
      <c r="P50" s="107"/>
    </row>
    <row r="51" spans="1:16" ht="11.25">
      <c r="A51" s="117"/>
      <c r="B51" s="10" t="s">
        <v>102</v>
      </c>
      <c r="H51" s="112"/>
      <c r="I51" s="206"/>
      <c r="J51" s="209"/>
      <c r="K51" s="206"/>
      <c r="L51" s="209"/>
      <c r="M51" s="206"/>
      <c r="N51" s="289">
        <f>'Capital Cost Estimate'!$AA$134*0.25</f>
        <v>4084375</v>
      </c>
      <c r="O51" s="290"/>
      <c r="P51" s="289">
        <f>'Capital Cost Estimate'!$AE$134*0.25</f>
        <v>4084375</v>
      </c>
    </row>
    <row r="52" spans="1:16" ht="11.25">
      <c r="A52" s="117"/>
      <c r="B52" s="10" t="s">
        <v>103</v>
      </c>
      <c r="H52" s="112"/>
      <c r="I52" s="206"/>
      <c r="J52" s="209"/>
      <c r="K52" s="206"/>
      <c r="L52" s="209"/>
      <c r="M52" s="206"/>
      <c r="N52" s="289">
        <f>'Capital Cost Estimate'!$AA$134*0.25</f>
        <v>4084375</v>
      </c>
      <c r="O52" s="290"/>
      <c r="P52" s="289">
        <f>'Capital Cost Estimate'!$AE$134*0.25</f>
        <v>4084375</v>
      </c>
    </row>
    <row r="53" spans="1:16" ht="11.25">
      <c r="A53" s="117"/>
      <c r="B53" s="10" t="s">
        <v>104</v>
      </c>
      <c r="H53" s="112"/>
      <c r="I53" s="206"/>
      <c r="J53" s="209"/>
      <c r="K53" s="206"/>
      <c r="L53" s="209"/>
      <c r="M53" s="206"/>
      <c r="N53" s="289">
        <f>'Capital Cost Estimate'!$AA$134*0.5</f>
        <v>8168750</v>
      </c>
      <c r="O53" s="290"/>
      <c r="P53" s="289">
        <f>'Capital Cost Estimate'!$AE$134*0.5</f>
        <v>8168750</v>
      </c>
    </row>
    <row r="54" spans="1:16" ht="11.25">
      <c r="A54" s="117"/>
      <c r="B54" s="10" t="s">
        <v>105</v>
      </c>
      <c r="H54" s="68"/>
      <c r="I54" s="138"/>
      <c r="J54" s="107"/>
      <c r="K54" s="138"/>
      <c r="L54" s="107"/>
      <c r="M54" s="138"/>
      <c r="N54" s="107"/>
      <c r="O54" s="276"/>
      <c r="P54" s="107"/>
    </row>
    <row r="55" spans="1:16" ht="12" thickBot="1">
      <c r="A55" s="117"/>
      <c r="B55" s="22"/>
      <c r="C55" s="22"/>
      <c r="D55" s="22"/>
      <c r="E55" s="22"/>
      <c r="F55" s="22"/>
      <c r="G55" s="22"/>
      <c r="H55" s="162"/>
      <c r="I55" s="215"/>
      <c r="J55" s="216"/>
      <c r="K55" s="215"/>
      <c r="L55" s="216"/>
      <c r="M55" s="215"/>
      <c r="N55" s="216"/>
      <c r="O55" s="215"/>
      <c r="P55" s="216"/>
    </row>
    <row r="56" spans="1:16" ht="12" thickTop="1">
      <c r="A56" s="28" t="s">
        <v>142</v>
      </c>
      <c r="B56" s="80"/>
      <c r="C56" s="80"/>
      <c r="D56" s="80"/>
      <c r="E56" s="80"/>
      <c r="F56" s="80"/>
      <c r="G56" s="80"/>
      <c r="H56" s="50">
        <f>H8+H16+H25+H35+H48</f>
        <v>3939654.18</v>
      </c>
      <c r="I56" s="217"/>
      <c r="J56" s="218">
        <f>J8+J16+J25+J35+J48</f>
        <v>4472840.46</v>
      </c>
      <c r="K56" s="217"/>
      <c r="L56" s="218">
        <f>L8+L16+L25+L35+L48</f>
        <v>4472840.46</v>
      </c>
      <c r="M56" s="217"/>
      <c r="N56" s="218">
        <f>N8+N16+N25+N35+N48+N51+N52+N53</f>
        <v>60335735.04</v>
      </c>
      <c r="O56" s="217"/>
      <c r="P56" s="218">
        <f>P8+P16+P25+P35+P48+P51+P52+P53</f>
        <v>106132834.59</v>
      </c>
    </row>
    <row r="57" spans="1:16" ht="11.25">
      <c r="A57" s="326"/>
      <c r="H57" s="9"/>
      <c r="I57" s="9"/>
      <c r="J57" s="9"/>
      <c r="K57" s="9"/>
      <c r="L57" s="9"/>
      <c r="M57" s="9"/>
      <c r="N57" s="9"/>
      <c r="O57" s="9"/>
      <c r="P57" s="9"/>
    </row>
    <row r="58" spans="1:16" ht="11.25">
      <c r="A58" s="326"/>
      <c r="H58" s="9"/>
      <c r="I58" s="9"/>
      <c r="J58" s="9"/>
      <c r="K58" s="9"/>
      <c r="L58" s="9"/>
      <c r="M58" s="9"/>
      <c r="N58" s="9"/>
      <c r="O58" s="9"/>
      <c r="P58" s="209"/>
    </row>
    <row r="59" spans="1:16" s="22" customFormat="1" ht="12">
      <c r="A59" s="327" t="s">
        <v>208</v>
      </c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11.25">
      <c r="A60" s="328"/>
      <c r="B60" s="92"/>
      <c r="C60" s="92"/>
      <c r="D60" s="92"/>
      <c r="E60" s="92"/>
      <c r="F60" s="92"/>
      <c r="G60" s="92"/>
      <c r="H60" s="170"/>
      <c r="I60" s="170"/>
      <c r="J60" s="170"/>
      <c r="K60" s="170"/>
      <c r="L60" s="170"/>
      <c r="M60" s="170"/>
      <c r="N60" s="170"/>
      <c r="O60" s="170"/>
      <c r="P60" s="214"/>
    </row>
    <row r="61" spans="1:16" ht="11.25">
      <c r="A61" s="135" t="s">
        <v>73</v>
      </c>
      <c r="B61" s="10" t="str">
        <f>B8</f>
        <v>Interim Water Management and Operations</v>
      </c>
      <c r="G61" s="107"/>
      <c r="H61" s="44">
        <f>H8*(1+G48)</f>
        <v>0</v>
      </c>
      <c r="I61" s="206"/>
      <c r="J61" s="208">
        <f>J8*(1+$I$48)</f>
        <v>0</v>
      </c>
      <c r="K61" s="206"/>
      <c r="L61" s="208">
        <f>L8*(1+$I$48)</f>
        <v>0</v>
      </c>
      <c r="M61" s="206"/>
      <c r="N61" s="208">
        <f>N8*(1+$I$48)</f>
        <v>0</v>
      </c>
      <c r="O61" s="206"/>
      <c r="P61" s="208">
        <f>P8*(1+$I$48)</f>
        <v>0</v>
      </c>
    </row>
    <row r="62" spans="1:16" ht="11.25">
      <c r="A62" s="117" t="s">
        <v>74</v>
      </c>
      <c r="B62" s="10" t="str">
        <f>B10</f>
        <v>Water Treatment Plant</v>
      </c>
      <c r="G62" s="107"/>
      <c r="H62" s="44">
        <f>H10*(1+G48)</f>
        <v>3212112.2600000002</v>
      </c>
      <c r="I62" s="206"/>
      <c r="J62" s="209">
        <f>J10*(1+I48)</f>
        <v>3646834.22</v>
      </c>
      <c r="K62" s="206"/>
      <c r="L62" s="209">
        <f>L10*(1+K48)</f>
        <v>3646834.22</v>
      </c>
      <c r="M62" s="206"/>
      <c r="N62" s="209">
        <f>N10*(1+M48)</f>
        <v>36468312</v>
      </c>
      <c r="O62" s="206"/>
      <c r="P62" s="209">
        <f>P10*(1+O48)</f>
        <v>72936623.99999999</v>
      </c>
    </row>
    <row r="63" spans="1:16" ht="11.25">
      <c r="A63" s="117" t="s">
        <v>75</v>
      </c>
      <c r="B63" s="10" t="str">
        <f>B18</f>
        <v>General Site Operation and Maintenance</v>
      </c>
      <c r="G63" s="107"/>
      <c r="H63" s="44">
        <f>H25*(1+G48)</f>
        <v>270633.72000000003</v>
      </c>
      <c r="I63" s="206"/>
      <c r="J63" s="209">
        <f>J25*(1+I48)</f>
        <v>307260.84</v>
      </c>
      <c r="K63" s="206"/>
      <c r="L63" s="209">
        <f>L25*(1+K48)</f>
        <v>307260.84</v>
      </c>
      <c r="M63" s="206"/>
      <c r="N63" s="209">
        <f>N25*(1+M48)</f>
        <v>3072623.5</v>
      </c>
      <c r="O63" s="206"/>
      <c r="P63" s="209">
        <f>P25*(1+O48)</f>
        <v>6145246.999999999</v>
      </c>
    </row>
    <row r="64" spans="1:16" ht="11.25">
      <c r="A64" s="117" t="s">
        <v>76</v>
      </c>
      <c r="B64" s="10" t="str">
        <f>B27</f>
        <v>Long-Term Operation and Maintenance Expense</v>
      </c>
      <c r="G64" s="107"/>
      <c r="H64" s="44"/>
      <c r="I64" s="206"/>
      <c r="J64" s="209"/>
      <c r="K64" s="206"/>
      <c r="L64" s="209"/>
      <c r="M64" s="206"/>
      <c r="N64" s="209"/>
      <c r="O64" s="206"/>
      <c r="P64" s="209"/>
    </row>
    <row r="65" spans="1:16" ht="12">
      <c r="A65" s="117"/>
      <c r="B65" s="8"/>
      <c r="C65" s="10" t="str">
        <f>B28</f>
        <v>Surface and Groundwater  Monitoring</v>
      </c>
      <c r="G65" s="107"/>
      <c r="H65" s="44">
        <f>H28*(1+G48)</f>
        <v>248981.32</v>
      </c>
      <c r="I65" s="206"/>
      <c r="J65" s="209">
        <f>J28*(1+I48)</f>
        <v>282678.04</v>
      </c>
      <c r="K65" s="206"/>
      <c r="L65" s="209">
        <f>L28*(1+K48)</f>
        <v>282678.04</v>
      </c>
      <c r="M65" s="206"/>
      <c r="N65" s="209">
        <f>N28*(1+M48)</f>
        <v>4000178.75</v>
      </c>
      <c r="O65" s="206"/>
      <c r="P65" s="209">
        <f>P28*(1+O48)</f>
        <v>9312985.399999999</v>
      </c>
    </row>
    <row r="66" spans="1:16" ht="11.25">
      <c r="A66" s="117"/>
      <c r="C66" s="10" t="str">
        <f>B29</f>
        <v>Tailing Dam Monitoring</v>
      </c>
      <c r="G66" s="107"/>
      <c r="H66" s="44">
        <f>H29*(1+G48)</f>
        <v>68311.46</v>
      </c>
      <c r="I66" s="206"/>
      <c r="J66" s="209">
        <f>J29*(1+I48)</f>
        <v>77556.62</v>
      </c>
      <c r="K66" s="206"/>
      <c r="L66" s="209">
        <f>L29*(1+K48)</f>
        <v>77556.62</v>
      </c>
      <c r="M66" s="206"/>
      <c r="N66" s="209">
        <f>N29*(1+M48)</f>
        <v>145986.8</v>
      </c>
      <c r="O66" s="206"/>
      <c r="P66" s="209">
        <f>P29*(1+O48)</f>
        <v>434328.8499999999</v>
      </c>
    </row>
    <row r="67" spans="1:16" ht="11.25">
      <c r="A67" s="117"/>
      <c r="C67" s="10" t="str">
        <f>B30</f>
        <v>Tailing Dam Maintenance</v>
      </c>
      <c r="G67" s="107"/>
      <c r="H67" s="44">
        <f>(H31+H32+H33+H34)*(1+G48)</f>
        <v>139615.42</v>
      </c>
      <c r="I67" s="206"/>
      <c r="J67" s="209">
        <f>(J31+J32+J33+J34)*(1+I48)</f>
        <v>158510.74</v>
      </c>
      <c r="K67" s="206"/>
      <c r="L67" s="209">
        <f>(L31+L32+L33+L34)*(1+K48)</f>
        <v>158510.74</v>
      </c>
      <c r="M67" s="206"/>
      <c r="N67" s="209">
        <f>(N31+N32+N33+N34)*(1+M48)</f>
        <v>311133.99</v>
      </c>
      <c r="O67" s="206"/>
      <c r="P67" s="209">
        <f>(P31+P32+P33+P34)*(1+O48)</f>
        <v>966149.3399999999</v>
      </c>
    </row>
    <row r="68" spans="1:16" ht="11.25">
      <c r="A68" s="117"/>
      <c r="B68" s="10" t="str">
        <f>B35</f>
        <v>Sub-Total Long-Term Operation and Maintenance Expense</v>
      </c>
      <c r="G68" s="107"/>
      <c r="H68" s="44">
        <f>SUM(H65:H67)</f>
        <v>456908.20000000007</v>
      </c>
      <c r="I68" s="206"/>
      <c r="J68" s="209">
        <f>SUM(J65:J67)</f>
        <v>518745.39999999997</v>
      </c>
      <c r="K68" s="206"/>
      <c r="L68" s="209">
        <f>SUM(L65:L67)</f>
        <v>518745.39999999997</v>
      </c>
      <c r="M68" s="206"/>
      <c r="N68" s="209">
        <f>SUM(N65:N67)</f>
        <v>4457299.54</v>
      </c>
      <c r="O68" s="206"/>
      <c r="P68" s="209">
        <f>SUM(P65:P67)</f>
        <v>10713463.589999998</v>
      </c>
    </row>
    <row r="69" spans="1:16" ht="11.25">
      <c r="A69" s="117" t="s">
        <v>210</v>
      </c>
      <c r="B69" s="10" t="str">
        <f>B50</f>
        <v>Water Treatment Plant Capital Replacement</v>
      </c>
      <c r="G69" s="107"/>
      <c r="H69" s="44">
        <f>SUM(H51:H54)</f>
        <v>0</v>
      </c>
      <c r="I69" s="206"/>
      <c r="J69" s="209">
        <f>SUM(J51:J54)</f>
        <v>0</v>
      </c>
      <c r="K69" s="206"/>
      <c r="L69" s="209">
        <f>SUM(L51:L54)</f>
        <v>0</v>
      </c>
      <c r="M69" s="206"/>
      <c r="N69" s="209">
        <f>SUM(N51:N54)</f>
        <v>16337500</v>
      </c>
      <c r="O69" s="206"/>
      <c r="P69" s="209">
        <f>SUM(P51:P54)</f>
        <v>16337500</v>
      </c>
    </row>
    <row r="70" spans="1:17" ht="11.25">
      <c r="A70" s="117"/>
      <c r="G70" s="107"/>
      <c r="H70" s="171"/>
      <c r="I70" s="138"/>
      <c r="J70" s="210"/>
      <c r="K70" s="138"/>
      <c r="L70" s="210"/>
      <c r="M70" s="138"/>
      <c r="N70" s="210"/>
      <c r="O70" s="138"/>
      <c r="P70" s="59"/>
      <c r="Q70" s="138"/>
    </row>
    <row r="71" spans="1:16" ht="12">
      <c r="A71" s="146"/>
      <c r="B71" s="3" t="s">
        <v>244</v>
      </c>
      <c r="C71" s="92"/>
      <c r="D71" s="92"/>
      <c r="E71" s="92"/>
      <c r="F71" s="92"/>
      <c r="G71" s="147"/>
      <c r="H71" s="45">
        <f>H61+H62+H63+H68+H69</f>
        <v>3939654.1800000006</v>
      </c>
      <c r="I71" s="207"/>
      <c r="J71" s="211">
        <f>J61+J62+J63+J68+J69</f>
        <v>4472840.46</v>
      </c>
      <c r="K71" s="207"/>
      <c r="L71" s="211">
        <f>L61+L62+L63+L68+L69</f>
        <v>4472840.46</v>
      </c>
      <c r="M71" s="207"/>
      <c r="N71" s="211">
        <f>N61+N62+N63+N68+N69</f>
        <v>60335735.04</v>
      </c>
      <c r="O71" s="207"/>
      <c r="P71" s="211">
        <f>P61+P62+P63+P68+P69</f>
        <v>106132834.58999999</v>
      </c>
    </row>
    <row r="72" spans="1:16" ht="11.25">
      <c r="A72" s="169"/>
      <c r="H72" s="9"/>
      <c r="I72" s="9"/>
      <c r="J72" s="9"/>
      <c r="K72" s="9"/>
      <c r="L72" s="9"/>
      <c r="M72" s="9"/>
      <c r="N72" s="9"/>
      <c r="O72" s="9"/>
      <c r="P72" s="9"/>
    </row>
    <row r="73" spans="1:16" ht="11.25">
      <c r="A73" s="169"/>
      <c r="H73" s="9"/>
      <c r="I73" s="9"/>
      <c r="J73" s="9"/>
      <c r="K73" s="9"/>
      <c r="L73" s="9"/>
      <c r="M73" s="9"/>
      <c r="N73" s="9"/>
      <c r="O73" s="9"/>
      <c r="P73" s="9"/>
    </row>
    <row r="74" spans="1:16" ht="11.25">
      <c r="A74" s="169"/>
      <c r="H74" s="9"/>
      <c r="I74" s="9"/>
      <c r="J74" s="9"/>
      <c r="K74" s="9"/>
      <c r="L74" s="9"/>
      <c r="M74" s="9"/>
      <c r="N74" s="9"/>
      <c r="O74" s="9"/>
      <c r="P74" s="9"/>
    </row>
    <row r="75" spans="1:15" ht="11.25">
      <c r="A75" s="169"/>
      <c r="H75" s="9"/>
      <c r="I75" s="9"/>
      <c r="K75" s="9"/>
      <c r="M75" s="9"/>
      <c r="O75" s="9"/>
    </row>
    <row r="76" spans="1:16" ht="11.25">
      <c r="A76" s="169"/>
      <c r="J76" s="9"/>
      <c r="L76" s="9"/>
      <c r="N76" s="9"/>
      <c r="P76" s="9"/>
    </row>
    <row r="77" spans="1:16" ht="11.25">
      <c r="A77" s="169"/>
      <c r="H77" s="9"/>
      <c r="I77" s="9"/>
      <c r="J77" s="9"/>
      <c r="K77" s="9"/>
      <c r="L77" s="9"/>
      <c r="M77" s="9"/>
      <c r="N77" s="9"/>
      <c r="O77" s="9"/>
      <c r="P77" s="9"/>
    </row>
    <row r="78" spans="1:15" ht="11.25">
      <c r="A78" s="169"/>
      <c r="H78" s="9"/>
      <c r="I78" s="9"/>
      <c r="K78" s="9"/>
      <c r="M78" s="9"/>
      <c r="O78" s="9"/>
    </row>
    <row r="79" ht="11.25">
      <c r="A79" s="169"/>
    </row>
    <row r="80" spans="1:16" ht="11.25">
      <c r="A80" s="169"/>
      <c r="J80" s="9"/>
      <c r="L80" s="9"/>
      <c r="N80" s="9"/>
      <c r="P80" s="9"/>
    </row>
    <row r="81" spans="1:16" ht="11.25">
      <c r="A81" s="169"/>
      <c r="H81" s="9"/>
      <c r="I81" s="9"/>
      <c r="J81" s="9"/>
      <c r="K81" s="9"/>
      <c r="L81" s="9"/>
      <c r="M81" s="9"/>
      <c r="N81" s="9"/>
      <c r="O81" s="9"/>
      <c r="P81" s="9"/>
    </row>
    <row r="82" spans="1:16" ht="11.25">
      <c r="A82" s="169"/>
      <c r="H82" s="9"/>
      <c r="I82" s="9"/>
      <c r="J82" s="9"/>
      <c r="K82" s="9"/>
      <c r="L82" s="9"/>
      <c r="M82" s="9"/>
      <c r="N82" s="9"/>
      <c r="O82" s="9"/>
      <c r="P82" s="9"/>
    </row>
    <row r="83" spans="1:16" ht="11.25">
      <c r="A83" s="169"/>
      <c r="H83" s="9"/>
      <c r="I83" s="9"/>
      <c r="J83" s="9"/>
      <c r="K83" s="9"/>
      <c r="L83" s="9"/>
      <c r="M83" s="9"/>
      <c r="N83" s="9"/>
      <c r="O83" s="9"/>
      <c r="P83" s="9"/>
    </row>
    <row r="84" spans="1:16" ht="11.25">
      <c r="A84" s="169"/>
      <c r="H84" s="9"/>
      <c r="I84" s="9"/>
      <c r="J84" s="9"/>
      <c r="K84" s="9"/>
      <c r="L84" s="9"/>
      <c r="M84" s="9"/>
      <c r="N84" s="9"/>
      <c r="O84" s="9"/>
      <c r="P84" s="9"/>
    </row>
    <row r="85" spans="1:15" ht="11.25">
      <c r="A85" s="169"/>
      <c r="H85" s="9"/>
      <c r="I85" s="9"/>
      <c r="K85" s="9"/>
      <c r="M85" s="9"/>
      <c r="O85" s="9"/>
    </row>
    <row r="86" spans="1:16" ht="11.25">
      <c r="A86" s="169"/>
      <c r="J86" s="9"/>
      <c r="L86" s="9"/>
      <c r="N86" s="9"/>
      <c r="P86" s="9"/>
    </row>
    <row r="87" spans="1:16" ht="11.25">
      <c r="A87" s="169"/>
      <c r="H87" s="9"/>
      <c r="I87" s="9"/>
      <c r="J87" s="9"/>
      <c r="K87" s="9"/>
      <c r="L87" s="9"/>
      <c r="M87" s="9"/>
      <c r="N87" s="9"/>
      <c r="O87" s="9"/>
      <c r="P87" s="9"/>
    </row>
    <row r="88" spans="1:16" ht="11.25">
      <c r="A88" s="169"/>
      <c r="H88" s="9"/>
      <c r="I88" s="9"/>
      <c r="J88" s="9"/>
      <c r="K88" s="9"/>
      <c r="L88" s="9"/>
      <c r="M88" s="9"/>
      <c r="N88" s="9"/>
      <c r="O88" s="9"/>
      <c r="P88" s="9"/>
    </row>
    <row r="89" spans="1:16" ht="11.25">
      <c r="A89" s="169"/>
      <c r="H89" s="9"/>
      <c r="I89" s="9"/>
      <c r="J89" s="9"/>
      <c r="K89" s="9"/>
      <c r="L89" s="9"/>
      <c r="M89" s="9"/>
      <c r="N89" s="9"/>
      <c r="O89" s="9"/>
      <c r="P89" s="9"/>
    </row>
    <row r="90" spans="1:16" ht="11.25">
      <c r="A90" s="169"/>
      <c r="H90" s="9"/>
      <c r="I90" s="9"/>
      <c r="J90" s="9"/>
      <c r="K90" s="9"/>
      <c r="L90" s="9"/>
      <c r="M90" s="9"/>
      <c r="N90" s="9"/>
      <c r="O90" s="9"/>
      <c r="P90" s="9"/>
    </row>
    <row r="91" spans="1:2" ht="12">
      <c r="A91" s="169"/>
      <c r="B91" s="8"/>
    </row>
    <row r="92" spans="1:2" ht="12">
      <c r="A92" s="169"/>
      <c r="B92" s="12"/>
    </row>
    <row r="93" spans="1:16" ht="11.25">
      <c r="A93" s="169"/>
      <c r="H93" s="9"/>
      <c r="I93" s="9"/>
      <c r="J93" s="9"/>
      <c r="K93" s="9"/>
      <c r="L93" s="9"/>
      <c r="M93" s="9"/>
      <c r="N93" s="9"/>
      <c r="O93" s="9"/>
      <c r="P93" s="9"/>
    </row>
    <row r="94" spans="1:16" ht="11.25">
      <c r="A94" s="169"/>
      <c r="H94" s="9"/>
      <c r="I94" s="9"/>
      <c r="J94" s="9"/>
      <c r="K94" s="9"/>
      <c r="L94" s="9"/>
      <c r="M94" s="9"/>
      <c r="N94" s="9"/>
      <c r="O94" s="9"/>
      <c r="P94" s="9"/>
    </row>
    <row r="95" spans="1:16" ht="11.25">
      <c r="A95" s="169"/>
      <c r="H95" s="9"/>
      <c r="I95" s="9"/>
      <c r="J95" s="9"/>
      <c r="K95" s="9"/>
      <c r="L95" s="9"/>
      <c r="M95" s="9"/>
      <c r="N95" s="9"/>
      <c r="O95" s="9"/>
      <c r="P95" s="9"/>
    </row>
    <row r="96" spans="1:16" ht="11.25">
      <c r="A96" s="169"/>
      <c r="H96" s="9"/>
      <c r="I96" s="9"/>
      <c r="J96" s="9"/>
      <c r="K96" s="9"/>
      <c r="L96" s="9"/>
      <c r="M96" s="9"/>
      <c r="N96" s="9"/>
      <c r="O96" s="9"/>
      <c r="P96" s="9"/>
    </row>
    <row r="97" spans="1:16" ht="11.25">
      <c r="A97" s="169"/>
      <c r="H97" s="9"/>
      <c r="I97" s="9"/>
      <c r="J97" s="9"/>
      <c r="K97" s="9"/>
      <c r="L97" s="9"/>
      <c r="M97" s="9"/>
      <c r="N97" s="9"/>
      <c r="O97" s="9"/>
      <c r="P97" s="9"/>
    </row>
    <row r="98" spans="1:16" ht="11.25">
      <c r="A98" s="169"/>
      <c r="H98" s="9"/>
      <c r="I98" s="9"/>
      <c r="J98" s="9"/>
      <c r="K98" s="9"/>
      <c r="L98" s="9"/>
      <c r="M98" s="9"/>
      <c r="N98" s="9"/>
      <c r="O98" s="9"/>
      <c r="P98" s="9"/>
    </row>
    <row r="99" spans="1:16" ht="11.25">
      <c r="A99" s="169"/>
      <c r="H99" s="9"/>
      <c r="I99" s="9"/>
      <c r="J99" s="9"/>
      <c r="K99" s="9"/>
      <c r="L99" s="9"/>
      <c r="M99" s="9"/>
      <c r="N99" s="9"/>
      <c r="O99" s="9"/>
      <c r="P99" s="9"/>
    </row>
    <row r="100" ht="11.25">
      <c r="A100" s="169"/>
    </row>
    <row r="101" ht="11.25">
      <c r="A101" s="169"/>
    </row>
    <row r="102" spans="1:16" ht="11.25">
      <c r="A102" s="16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1.25">
      <c r="A103" s="16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1.25">
      <c r="A104" s="16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1.25">
      <c r="A105" s="16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1.25">
      <c r="A106" s="16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1.25">
      <c r="A107" s="16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1.25">
      <c r="A108" s="16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1.25">
      <c r="A109" s="16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2">
      <c r="A110" s="169"/>
      <c r="B110" s="8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1.25">
      <c r="A111" s="16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1.25">
      <c r="A112" s="16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1.25">
      <c r="A113" s="16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1.25">
      <c r="A114" s="16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1.25">
      <c r="A115" s="16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1.25">
      <c r="A116" s="16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1.25">
      <c r="A117" s="16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1.25">
      <c r="A118" s="16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2">
      <c r="A119" s="169"/>
      <c r="B119" s="8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1.25">
      <c r="A120" s="169"/>
      <c r="H120" s="9"/>
      <c r="I120" s="9"/>
      <c r="J120" s="9"/>
      <c r="K120" s="9"/>
      <c r="L120" s="9"/>
      <c r="M120" s="9"/>
      <c r="N120" s="9"/>
      <c r="O120" s="9"/>
      <c r="P120" s="9"/>
    </row>
    <row r="121" spans="1:2" ht="12">
      <c r="A121" s="169"/>
      <c r="B121" s="12"/>
    </row>
    <row r="122" spans="1:16" ht="11.25">
      <c r="A122" s="16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1.25">
      <c r="A123" s="16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1.25">
      <c r="A124" s="16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1.25">
      <c r="A125" s="16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1.25">
      <c r="A126" s="16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1.25">
      <c r="A127" s="16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1.25">
      <c r="A128" s="169"/>
      <c r="H128" s="20"/>
      <c r="I128" s="20"/>
      <c r="J128" s="9"/>
      <c r="K128" s="20"/>
      <c r="L128" s="9"/>
      <c r="M128" s="20"/>
      <c r="N128" s="9"/>
      <c r="O128" s="20"/>
      <c r="P128" s="9"/>
    </row>
    <row r="129" spans="1:16" ht="11.25">
      <c r="A129" s="169"/>
      <c r="H129" s="9"/>
      <c r="I129" s="9"/>
      <c r="J129" s="9"/>
      <c r="K129" s="9"/>
      <c r="L129" s="9"/>
      <c r="M129" s="9"/>
      <c r="N129" s="9"/>
      <c r="O129" s="9"/>
      <c r="P129" s="9"/>
    </row>
    <row r="130" spans="8:16" ht="11.25">
      <c r="H130" s="9"/>
      <c r="I130" s="9"/>
      <c r="J130" s="9"/>
      <c r="K130" s="9"/>
      <c r="L130" s="9"/>
      <c r="M130" s="9"/>
      <c r="N130" s="9"/>
      <c r="O130" s="9"/>
      <c r="P130" s="9"/>
    </row>
    <row r="132" spans="1:2" ht="12">
      <c r="A132" s="169"/>
      <c r="B132" s="8"/>
    </row>
    <row r="133" spans="1:16" ht="11.25">
      <c r="A133" s="16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1.25">
      <c r="A134" s="16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1.25">
      <c r="A135" s="169"/>
      <c r="H135" s="9"/>
      <c r="I135" s="9"/>
      <c r="J135" s="9"/>
      <c r="K135" s="9"/>
      <c r="L135" s="9"/>
      <c r="M135" s="9"/>
      <c r="N135" s="9"/>
      <c r="O135" s="9"/>
      <c r="P135" s="9"/>
    </row>
    <row r="136" spans="8:16" ht="11.25">
      <c r="H136" s="9"/>
      <c r="I136" s="9"/>
      <c r="J136" s="9"/>
      <c r="K136" s="9"/>
      <c r="L136" s="9"/>
      <c r="M136" s="9"/>
      <c r="N136" s="9"/>
      <c r="O136" s="9"/>
      <c r="P136" s="9"/>
    </row>
    <row r="137" spans="8:16" ht="11.25"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2">
      <c r="A138" s="169"/>
      <c r="B138" s="8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2">
      <c r="A139" s="169"/>
      <c r="B139" s="8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2">
      <c r="A140" s="169"/>
      <c r="B140" s="8"/>
      <c r="H140" s="9"/>
      <c r="I140" s="9"/>
      <c r="J140" s="9"/>
      <c r="K140" s="9"/>
      <c r="L140" s="9"/>
      <c r="M140" s="9"/>
      <c r="N140" s="9"/>
      <c r="O140" s="9"/>
      <c r="P140" s="9"/>
    </row>
    <row r="142" spans="2:16" ht="12">
      <c r="B142" s="8"/>
      <c r="H142" s="9"/>
      <c r="I142" s="9"/>
      <c r="J142" s="9"/>
      <c r="K142" s="9"/>
      <c r="L142" s="9"/>
      <c r="M142" s="9"/>
      <c r="N142" s="9"/>
      <c r="O142" s="9"/>
      <c r="P142" s="9"/>
    </row>
    <row r="143" spans="8:15" ht="11.25">
      <c r="H143" s="9"/>
      <c r="I143" s="9"/>
      <c r="K143" s="9"/>
      <c r="M143" s="9"/>
      <c r="O143" s="9"/>
    </row>
  </sheetData>
  <mergeCells count="9">
    <mergeCell ref="M5:N5"/>
    <mergeCell ref="M6:N6"/>
    <mergeCell ref="O5:P5"/>
    <mergeCell ref="O6:P6"/>
    <mergeCell ref="C6:D6"/>
    <mergeCell ref="I5:J5"/>
    <mergeCell ref="I6:J6"/>
    <mergeCell ref="K5:L5"/>
    <mergeCell ref="K6:L6"/>
  </mergeCells>
  <printOptions/>
  <pageMargins left="0.75" right="0.75" top="1" bottom="1" header="0.5" footer="0.5"/>
  <pageSetup fitToHeight="0" fitToWidth="1" horizontalDpi="1200" verticalDpi="1200" orientation="landscape" scale="61" r:id="rId1"/>
  <headerFooter alignWithMargins="0">
    <oddFooter>&amp;L&amp;"Braggadocio,Regular"CSP&amp;X2&amp;RPage &amp;P of &amp;N</oddFooter>
  </headerFooter>
  <rowBreaks count="1" manualBreakCount="1">
    <brk id="57" max="255" man="1"/>
  </rowBreaks>
  <ignoredErrors>
    <ignoredError sqref="L4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1"/>
  <sheetViews>
    <sheetView zoomScale="65" zoomScaleNormal="65" workbookViewId="0" topLeftCell="A1">
      <selection activeCell="A1" sqref="A1"/>
    </sheetView>
  </sheetViews>
  <sheetFormatPr defaultColWidth="9.33203125" defaultRowHeight="12.75"/>
  <cols>
    <col min="1" max="1" width="9.33203125" style="10" customWidth="1"/>
    <col min="2" max="2" width="8.83203125" style="10" customWidth="1"/>
    <col min="3" max="5" width="9.33203125" style="10" customWidth="1"/>
    <col min="6" max="6" width="17.16015625" style="10" customWidth="1"/>
    <col min="7" max="7" width="5.33203125" style="10" customWidth="1"/>
    <col min="8" max="8" width="29.83203125" style="22" customWidth="1"/>
    <col min="9" max="12" width="27.33203125" style="22" bestFit="1" customWidth="1"/>
    <col min="13" max="16384" width="9.33203125" style="10" customWidth="1"/>
  </cols>
  <sheetData>
    <row r="1" spans="1:12" ht="12">
      <c r="A1" s="131" t="s">
        <v>78</v>
      </c>
      <c r="B1" s="131"/>
      <c r="C1" s="131"/>
      <c r="D1" s="131"/>
      <c r="E1" s="131"/>
      <c r="F1" s="131"/>
      <c r="G1" s="131"/>
      <c r="H1" s="130"/>
      <c r="I1" s="130"/>
      <c r="J1" s="130"/>
      <c r="K1" s="130"/>
      <c r="L1" s="130"/>
    </row>
    <row r="2" spans="1:12" ht="12">
      <c r="A2" s="87" t="s">
        <v>106</v>
      </c>
      <c r="B2" s="87"/>
      <c r="C2" s="87"/>
      <c r="D2" s="87"/>
      <c r="E2" s="87"/>
      <c r="F2" s="21"/>
      <c r="G2" s="21"/>
      <c r="H2" s="35"/>
      <c r="I2" s="35"/>
      <c r="J2" s="35"/>
      <c r="K2" s="35"/>
      <c r="L2" s="35"/>
    </row>
    <row r="4" spans="9:12" ht="11.25">
      <c r="I4" s="92"/>
      <c r="J4" s="92"/>
      <c r="K4" s="92"/>
      <c r="L4" s="92"/>
    </row>
    <row r="5" spans="1:12" ht="27" customHeight="1">
      <c r="A5" s="161"/>
      <c r="B5" s="66"/>
      <c r="C5" s="66"/>
      <c r="D5" s="66"/>
      <c r="E5" s="66"/>
      <c r="F5" s="66"/>
      <c r="G5" s="136"/>
      <c r="H5" s="349" t="s">
        <v>107</v>
      </c>
      <c r="I5" s="350" t="s">
        <v>218</v>
      </c>
      <c r="J5" s="350" t="s">
        <v>247</v>
      </c>
      <c r="K5" s="348" t="s">
        <v>246</v>
      </c>
      <c r="L5" s="348" t="s">
        <v>245</v>
      </c>
    </row>
    <row r="6" spans="1:12" ht="12">
      <c r="A6" s="2" t="s">
        <v>2</v>
      </c>
      <c r="B6" s="3"/>
      <c r="C6" s="343" t="s">
        <v>1</v>
      </c>
      <c r="D6" s="343"/>
      <c r="E6" s="3"/>
      <c r="F6" s="3"/>
      <c r="G6" s="33"/>
      <c r="H6" s="339"/>
      <c r="I6" s="339"/>
      <c r="J6" s="339"/>
      <c r="K6" s="339"/>
      <c r="L6" s="339"/>
    </row>
    <row r="7" spans="1:12" ht="45">
      <c r="A7" s="67"/>
      <c r="G7" s="107"/>
      <c r="I7" s="205" t="s">
        <v>258</v>
      </c>
      <c r="J7" s="254" t="s">
        <v>260</v>
      </c>
      <c r="K7" s="254" t="s">
        <v>261</v>
      </c>
      <c r="L7" s="254" t="s">
        <v>262</v>
      </c>
    </row>
    <row r="8" spans="1:12" ht="12">
      <c r="A8" s="146">
        <v>1</v>
      </c>
      <c r="B8" s="3" t="s">
        <v>79</v>
      </c>
      <c r="C8" s="3"/>
      <c r="D8" s="3"/>
      <c r="E8" s="3"/>
      <c r="F8" s="3"/>
      <c r="G8" s="33"/>
      <c r="H8" s="30"/>
      <c r="I8" s="54"/>
      <c r="J8" s="54"/>
      <c r="K8" s="54"/>
      <c r="L8" s="54"/>
    </row>
    <row r="9" spans="1:12" ht="11.25">
      <c r="A9" s="67"/>
      <c r="G9" s="107"/>
      <c r="H9" s="66"/>
      <c r="I9" s="171"/>
      <c r="J9" s="171"/>
      <c r="K9" s="171"/>
      <c r="L9" s="171"/>
    </row>
    <row r="10" spans="1:12" ht="23.25">
      <c r="A10" s="117">
        <v>2</v>
      </c>
      <c r="B10" s="8" t="s">
        <v>80</v>
      </c>
      <c r="C10" s="8"/>
      <c r="D10" s="8"/>
      <c r="G10" s="107"/>
      <c r="H10" s="32" t="s">
        <v>216</v>
      </c>
      <c r="I10" s="171"/>
      <c r="J10" s="171"/>
      <c r="K10" s="255" t="s">
        <v>263</v>
      </c>
      <c r="L10" s="255" t="s">
        <v>275</v>
      </c>
    </row>
    <row r="11" spans="1:12" ht="11.25">
      <c r="A11" s="117" t="s">
        <v>23</v>
      </c>
      <c r="B11" s="10" t="s">
        <v>81</v>
      </c>
      <c r="G11" s="107"/>
      <c r="I11" s="171"/>
      <c r="J11" s="171"/>
      <c r="K11" s="171"/>
      <c r="L11" s="171"/>
    </row>
    <row r="12" spans="1:12" ht="11.25">
      <c r="A12" s="117" t="s">
        <v>36</v>
      </c>
      <c r="B12" s="10" t="s">
        <v>82</v>
      </c>
      <c r="G12" s="107"/>
      <c r="I12" s="171"/>
      <c r="J12" s="171"/>
      <c r="K12" s="171"/>
      <c r="L12" s="171"/>
    </row>
    <row r="13" spans="1:12" ht="11.25">
      <c r="A13" s="117" t="s">
        <v>37</v>
      </c>
      <c r="B13" s="10" t="s">
        <v>83</v>
      </c>
      <c r="G13" s="107"/>
      <c r="I13" s="171"/>
      <c r="J13" s="171"/>
      <c r="K13" s="171"/>
      <c r="L13" s="171"/>
    </row>
    <row r="14" spans="1:12" ht="11.25">
      <c r="A14" s="117" t="s">
        <v>38</v>
      </c>
      <c r="B14" s="10" t="s">
        <v>84</v>
      </c>
      <c r="G14" s="107"/>
      <c r="I14" s="171"/>
      <c r="J14" s="171"/>
      <c r="K14" s="171"/>
      <c r="L14" s="171"/>
    </row>
    <row r="15" spans="1:12" ht="12" thickBot="1">
      <c r="A15" s="144" t="s">
        <v>39</v>
      </c>
      <c r="B15" s="89" t="s">
        <v>85</v>
      </c>
      <c r="C15" s="89"/>
      <c r="D15" s="89"/>
      <c r="E15" s="89"/>
      <c r="F15" s="89"/>
      <c r="G15" s="145"/>
      <c r="H15" s="89"/>
      <c r="I15" s="171"/>
      <c r="J15" s="171"/>
      <c r="K15" s="171"/>
      <c r="L15" s="171"/>
    </row>
    <row r="16" spans="1:12" ht="12" thickTop="1">
      <c r="A16" s="146"/>
      <c r="B16" s="80" t="s">
        <v>86</v>
      </c>
      <c r="C16" s="80"/>
      <c r="D16" s="80"/>
      <c r="E16" s="80"/>
      <c r="F16" s="92"/>
      <c r="G16" s="147"/>
      <c r="I16" s="173"/>
      <c r="J16" s="173"/>
      <c r="K16" s="173"/>
      <c r="L16" s="173"/>
    </row>
    <row r="17" spans="1:12" ht="11.25">
      <c r="A17" s="117"/>
      <c r="G17" s="107"/>
      <c r="H17" s="66"/>
      <c r="I17" s="171"/>
      <c r="J17" s="171"/>
      <c r="K17" s="171"/>
      <c r="L17" s="171"/>
    </row>
    <row r="18" spans="1:12" ht="12">
      <c r="A18" s="117">
        <v>3</v>
      </c>
      <c r="B18" s="8" t="s">
        <v>87</v>
      </c>
      <c r="C18" s="8"/>
      <c r="D18" s="8"/>
      <c r="E18" s="8"/>
      <c r="G18" s="107"/>
      <c r="I18" s="171"/>
      <c r="J18" s="171"/>
      <c r="K18" s="171"/>
      <c r="L18" s="171"/>
    </row>
    <row r="19" spans="1:12" ht="22.5">
      <c r="A19" s="117" t="s">
        <v>43</v>
      </c>
      <c r="B19" s="10" t="s">
        <v>81</v>
      </c>
      <c r="G19" s="107"/>
      <c r="H19" s="52" t="s">
        <v>132</v>
      </c>
      <c r="I19" s="171"/>
      <c r="J19" s="171"/>
      <c r="K19" s="255" t="s">
        <v>264</v>
      </c>
      <c r="L19" s="255" t="s">
        <v>282</v>
      </c>
    </row>
    <row r="20" spans="1:12" ht="11.25">
      <c r="A20" s="117" t="s">
        <v>44</v>
      </c>
      <c r="B20" s="10" t="s">
        <v>83</v>
      </c>
      <c r="G20" s="107"/>
      <c r="I20" s="171"/>
      <c r="J20" s="171"/>
      <c r="K20" s="171"/>
      <c r="L20" s="171"/>
    </row>
    <row r="21" spans="1:12" ht="11.25">
      <c r="A21" s="117" t="s">
        <v>45</v>
      </c>
      <c r="B21" s="10" t="s">
        <v>85</v>
      </c>
      <c r="G21" s="107"/>
      <c r="I21" s="171"/>
      <c r="J21" s="171"/>
      <c r="K21" s="171"/>
      <c r="L21" s="171"/>
    </row>
    <row r="22" spans="1:12" ht="11.25">
      <c r="A22" s="117" t="s">
        <v>88</v>
      </c>
      <c r="B22" s="10" t="s">
        <v>89</v>
      </c>
      <c r="G22" s="107"/>
      <c r="I22" s="171"/>
      <c r="J22" s="171"/>
      <c r="K22" s="171"/>
      <c r="L22" s="171"/>
    </row>
    <row r="23" spans="1:12" ht="11.25">
      <c r="A23" s="117" t="s">
        <v>90</v>
      </c>
      <c r="B23" s="10" t="s">
        <v>91</v>
      </c>
      <c r="G23" s="107"/>
      <c r="I23" s="171"/>
      <c r="J23" s="171"/>
      <c r="K23" s="171"/>
      <c r="L23" s="171"/>
    </row>
    <row r="24" spans="1:12" ht="12" thickBot="1">
      <c r="A24" s="117" t="s">
        <v>92</v>
      </c>
      <c r="B24" s="10" t="s">
        <v>93</v>
      </c>
      <c r="G24" s="107"/>
      <c r="H24" s="89"/>
      <c r="I24" s="171"/>
      <c r="J24" s="171"/>
      <c r="K24" s="171"/>
      <c r="L24" s="171"/>
    </row>
    <row r="25" spans="1:12" ht="12" thickTop="1">
      <c r="A25" s="139"/>
      <c r="B25" s="80" t="s">
        <v>94</v>
      </c>
      <c r="C25" s="80"/>
      <c r="D25" s="80"/>
      <c r="E25" s="80"/>
      <c r="F25" s="80"/>
      <c r="G25" s="140"/>
      <c r="H25" s="141"/>
      <c r="I25" s="173"/>
      <c r="J25" s="173"/>
      <c r="K25" s="173"/>
      <c r="L25" s="173"/>
    </row>
    <row r="26" spans="1:12" ht="11.25">
      <c r="A26" s="117"/>
      <c r="G26" s="107"/>
      <c r="I26" s="171"/>
      <c r="J26" s="171"/>
      <c r="K26" s="171"/>
      <c r="L26" s="171"/>
    </row>
    <row r="27" spans="1:12" ht="12">
      <c r="A27" s="117">
        <v>4</v>
      </c>
      <c r="B27" s="8" t="s">
        <v>95</v>
      </c>
      <c r="C27" s="8"/>
      <c r="D27" s="8"/>
      <c r="E27" s="8"/>
      <c r="F27" s="8"/>
      <c r="G27" s="34"/>
      <c r="H27" s="30"/>
      <c r="I27" s="53"/>
      <c r="J27" s="53"/>
      <c r="K27" s="53"/>
      <c r="L27" s="53"/>
    </row>
    <row r="28" spans="1:12" ht="57">
      <c r="A28" s="117" t="s">
        <v>51</v>
      </c>
      <c r="B28" s="10" t="s">
        <v>96</v>
      </c>
      <c r="G28" s="107"/>
      <c r="H28" s="52" t="s">
        <v>213</v>
      </c>
      <c r="I28" s="171"/>
      <c r="J28" s="171"/>
      <c r="K28" s="255" t="s">
        <v>267</v>
      </c>
      <c r="L28" s="255" t="s">
        <v>268</v>
      </c>
    </row>
    <row r="29" spans="1:20" ht="33.75">
      <c r="A29" s="117" t="s">
        <v>52</v>
      </c>
      <c r="B29" s="10" t="s">
        <v>123</v>
      </c>
      <c r="G29" s="107"/>
      <c r="H29" s="52" t="s">
        <v>214</v>
      </c>
      <c r="I29" s="171"/>
      <c r="J29" s="171"/>
      <c r="K29" s="255" t="s">
        <v>269</v>
      </c>
      <c r="L29" s="255" t="s">
        <v>270</v>
      </c>
      <c r="M29" s="22"/>
      <c r="N29" s="22"/>
      <c r="O29" s="22"/>
      <c r="P29" s="22"/>
      <c r="Q29" s="22"/>
      <c r="R29" s="22"/>
      <c r="S29" s="22"/>
      <c r="T29" s="22"/>
    </row>
    <row r="30" spans="1:20" ht="45">
      <c r="A30" s="117" t="s">
        <v>53</v>
      </c>
      <c r="B30" s="10" t="s">
        <v>124</v>
      </c>
      <c r="G30" s="107"/>
      <c r="H30" s="52" t="s">
        <v>215</v>
      </c>
      <c r="I30" s="171"/>
      <c r="J30" s="171"/>
      <c r="K30" s="255" t="s">
        <v>271</v>
      </c>
      <c r="L30" s="255" t="s">
        <v>272</v>
      </c>
      <c r="M30" s="22"/>
      <c r="N30" s="22"/>
      <c r="O30" s="22"/>
      <c r="P30" s="22"/>
      <c r="Q30" s="22"/>
      <c r="R30" s="22"/>
      <c r="S30" s="22"/>
      <c r="T30" s="22"/>
    </row>
    <row r="31" spans="1:20" ht="22.5">
      <c r="A31" s="117" t="s">
        <v>97</v>
      </c>
      <c r="C31" s="10" t="s">
        <v>3</v>
      </c>
      <c r="G31" s="107"/>
      <c r="H31" s="52" t="s">
        <v>128</v>
      </c>
      <c r="I31" s="171"/>
      <c r="J31" s="171"/>
      <c r="K31" s="171"/>
      <c r="L31" s="171"/>
      <c r="M31" s="22"/>
      <c r="N31" s="22"/>
      <c r="O31" s="22"/>
      <c r="P31" s="22"/>
      <c r="Q31" s="22"/>
      <c r="R31" s="22"/>
      <c r="S31" s="22"/>
      <c r="T31" s="22"/>
    </row>
    <row r="32" spans="1:20" ht="22.5">
      <c r="A32" s="117" t="s">
        <v>98</v>
      </c>
      <c r="C32" s="10" t="s">
        <v>4</v>
      </c>
      <c r="G32" s="107"/>
      <c r="H32" s="52" t="s">
        <v>129</v>
      </c>
      <c r="I32" s="171"/>
      <c r="J32" s="171"/>
      <c r="K32" s="171"/>
      <c r="L32" s="171"/>
      <c r="M32" s="22"/>
      <c r="N32" s="22"/>
      <c r="O32" s="22"/>
      <c r="P32" s="22"/>
      <c r="Q32" s="22"/>
      <c r="R32" s="22"/>
      <c r="S32" s="22"/>
      <c r="T32" s="22"/>
    </row>
    <row r="33" spans="1:20" ht="22.5">
      <c r="A33" s="117" t="s">
        <v>99</v>
      </c>
      <c r="C33" s="10" t="s">
        <v>126</v>
      </c>
      <c r="G33" s="107"/>
      <c r="H33" s="52" t="s">
        <v>130</v>
      </c>
      <c r="I33" s="171"/>
      <c r="J33" s="171"/>
      <c r="K33" s="171"/>
      <c r="L33" s="171"/>
      <c r="M33" s="22"/>
      <c r="N33" s="22"/>
      <c r="O33" s="22"/>
      <c r="P33" s="22"/>
      <c r="Q33" s="22"/>
      <c r="R33" s="22"/>
      <c r="S33" s="22"/>
      <c r="T33" s="22"/>
    </row>
    <row r="34" spans="1:20" ht="23.25" thickBot="1">
      <c r="A34" s="144" t="s">
        <v>125</v>
      </c>
      <c r="B34" s="89"/>
      <c r="C34" s="89" t="s">
        <v>127</v>
      </c>
      <c r="D34" s="89"/>
      <c r="E34" s="89"/>
      <c r="F34" s="89"/>
      <c r="G34" s="145"/>
      <c r="H34" s="52" t="s">
        <v>131</v>
      </c>
      <c r="I34" s="171"/>
      <c r="J34" s="171"/>
      <c r="K34" s="171"/>
      <c r="L34" s="171"/>
      <c r="M34" s="22"/>
      <c r="N34" s="22"/>
      <c r="O34" s="22"/>
      <c r="P34" s="22"/>
      <c r="Q34" s="22"/>
      <c r="R34" s="22"/>
      <c r="S34" s="22"/>
      <c r="T34" s="22"/>
    </row>
    <row r="35" spans="1:20" ht="12" thickBot="1" thickTop="1">
      <c r="A35" s="117"/>
      <c r="B35" s="132" t="s">
        <v>100</v>
      </c>
      <c r="C35" s="132"/>
      <c r="D35" s="132"/>
      <c r="E35" s="132"/>
      <c r="F35" s="132"/>
      <c r="G35" s="174"/>
      <c r="H35" s="175"/>
      <c r="I35" s="176"/>
      <c r="J35" s="176"/>
      <c r="K35" s="176"/>
      <c r="L35" s="176"/>
      <c r="M35" s="22"/>
      <c r="N35" s="22"/>
      <c r="O35" s="22"/>
      <c r="P35" s="22"/>
      <c r="Q35" s="22"/>
      <c r="R35" s="22"/>
      <c r="S35" s="22"/>
      <c r="T35" s="22"/>
    </row>
    <row r="36" spans="1:20" ht="12" thickTop="1">
      <c r="A36" s="139"/>
      <c r="B36" s="80" t="s">
        <v>186</v>
      </c>
      <c r="C36" s="80"/>
      <c r="D36" s="80"/>
      <c r="E36" s="80"/>
      <c r="F36" s="80"/>
      <c r="G36" s="140"/>
      <c r="I36" s="173"/>
      <c r="J36" s="173"/>
      <c r="K36" s="173"/>
      <c r="L36" s="173"/>
      <c r="M36" s="22"/>
      <c r="N36" s="22"/>
      <c r="O36" s="22"/>
      <c r="P36" s="22"/>
      <c r="Q36" s="22"/>
      <c r="R36" s="22"/>
      <c r="S36" s="22"/>
      <c r="T36" s="22"/>
    </row>
    <row r="37" spans="1:20" ht="12">
      <c r="A37" s="117"/>
      <c r="B37" s="12"/>
      <c r="C37" s="12"/>
      <c r="G37" s="107"/>
      <c r="H37" s="137"/>
      <c r="I37" s="171"/>
      <c r="J37" s="171"/>
      <c r="K37" s="171"/>
      <c r="L37" s="171"/>
      <c r="M37" s="22"/>
      <c r="N37" s="22"/>
      <c r="O37" s="22"/>
      <c r="P37" s="22"/>
      <c r="Q37" s="22"/>
      <c r="R37" s="22"/>
      <c r="S37" s="22"/>
      <c r="T37" s="22"/>
    </row>
    <row r="38" spans="1:20" ht="12">
      <c r="A38" s="117">
        <v>5</v>
      </c>
      <c r="B38" s="12" t="s">
        <v>66</v>
      </c>
      <c r="C38" s="25"/>
      <c r="D38" s="22"/>
      <c r="E38" s="22"/>
      <c r="F38" s="22"/>
      <c r="G38" s="107"/>
      <c r="H38" s="138"/>
      <c r="I38" s="171"/>
      <c r="J38" s="171" t="s">
        <v>255</v>
      </c>
      <c r="K38" s="171" t="s">
        <v>255</v>
      </c>
      <c r="L38" s="171" t="s">
        <v>255</v>
      </c>
      <c r="M38" s="22"/>
      <c r="N38" s="22"/>
      <c r="O38" s="22"/>
      <c r="P38" s="22"/>
      <c r="Q38" s="22"/>
      <c r="R38" s="22"/>
      <c r="S38" s="22"/>
      <c r="T38" s="22"/>
    </row>
    <row r="39" spans="1:20" ht="22.5">
      <c r="A39" s="117" t="s">
        <v>134</v>
      </c>
      <c r="B39" s="29" t="s">
        <v>187</v>
      </c>
      <c r="C39" s="19"/>
      <c r="D39" s="22"/>
      <c r="E39" s="22"/>
      <c r="F39" s="22"/>
      <c r="G39" s="106">
        <v>0.05</v>
      </c>
      <c r="H39" s="150" t="s">
        <v>144</v>
      </c>
      <c r="I39" s="177">
        <v>0.05</v>
      </c>
      <c r="J39" s="177"/>
      <c r="K39" s="177"/>
      <c r="L39" s="177"/>
      <c r="M39" s="22"/>
      <c r="N39" s="22"/>
      <c r="O39" s="22"/>
      <c r="P39" s="22"/>
      <c r="Q39" s="22"/>
      <c r="R39" s="22"/>
      <c r="S39" s="22"/>
      <c r="T39" s="22"/>
    </row>
    <row r="40" spans="1:20" ht="22.5">
      <c r="A40" s="117" t="s">
        <v>135</v>
      </c>
      <c r="B40" s="21" t="s">
        <v>67</v>
      </c>
      <c r="C40" s="22"/>
      <c r="D40" s="22"/>
      <c r="E40" s="22"/>
      <c r="F40" s="22"/>
      <c r="G40" s="106">
        <v>0.05</v>
      </c>
      <c r="H40" s="150" t="s">
        <v>144</v>
      </c>
      <c r="I40" s="177">
        <v>0.05</v>
      </c>
      <c r="J40" s="177"/>
      <c r="K40" s="177"/>
      <c r="L40" s="177"/>
      <c r="M40" s="22"/>
      <c r="N40" s="22"/>
      <c r="O40" s="22"/>
      <c r="P40" s="22"/>
      <c r="Q40" s="22"/>
      <c r="R40" s="22"/>
      <c r="S40" s="22"/>
      <c r="T40" s="22"/>
    </row>
    <row r="41" spans="1:12" ht="45">
      <c r="A41" s="117" t="s">
        <v>136</v>
      </c>
      <c r="B41" s="21" t="s">
        <v>68</v>
      </c>
      <c r="C41" s="22"/>
      <c r="D41" s="22"/>
      <c r="E41" s="22"/>
      <c r="F41" s="22"/>
      <c r="G41" s="107"/>
      <c r="H41" s="150"/>
      <c r="I41" s="205" t="s">
        <v>239</v>
      </c>
      <c r="J41" s="205"/>
      <c r="K41" s="205"/>
      <c r="L41" s="205"/>
    </row>
    <row r="42" spans="1:12" ht="45">
      <c r="A42" s="117" t="s">
        <v>137</v>
      </c>
      <c r="B42" s="21" t="s">
        <v>69</v>
      </c>
      <c r="C42" s="22"/>
      <c r="D42" s="22"/>
      <c r="E42" s="22"/>
      <c r="F42" s="22"/>
      <c r="G42" s="107"/>
      <c r="H42" s="150"/>
      <c r="I42" s="205" t="s">
        <v>240</v>
      </c>
      <c r="J42" s="205"/>
      <c r="K42" s="205"/>
      <c r="L42" s="205"/>
    </row>
    <row r="43" spans="1:12" ht="33.75">
      <c r="A43" s="117" t="s">
        <v>138</v>
      </c>
      <c r="B43" s="21" t="s">
        <v>70</v>
      </c>
      <c r="C43" s="22"/>
      <c r="D43" s="22"/>
      <c r="E43" s="22"/>
      <c r="F43" s="22"/>
      <c r="G43" s="107"/>
      <c r="H43" s="150"/>
      <c r="I43" s="205" t="s">
        <v>241</v>
      </c>
      <c r="J43" s="205"/>
      <c r="K43" s="205"/>
      <c r="L43" s="205"/>
    </row>
    <row r="44" spans="1:12" ht="22.5">
      <c r="A44" s="117" t="s">
        <v>139</v>
      </c>
      <c r="B44" s="21" t="s">
        <v>71</v>
      </c>
      <c r="C44" s="22"/>
      <c r="D44" s="22"/>
      <c r="E44" s="22"/>
      <c r="F44" s="22"/>
      <c r="G44" s="106">
        <v>0.1</v>
      </c>
      <c r="H44" s="150" t="s">
        <v>146</v>
      </c>
      <c r="I44" s="177">
        <v>0.1</v>
      </c>
      <c r="J44" s="177"/>
      <c r="K44" s="177"/>
      <c r="L44" s="177"/>
    </row>
    <row r="45" spans="1:12" ht="22.5">
      <c r="A45" s="117" t="s">
        <v>140</v>
      </c>
      <c r="B45" s="21" t="s">
        <v>188</v>
      </c>
      <c r="C45" s="22"/>
      <c r="D45" s="22"/>
      <c r="E45" s="22"/>
      <c r="F45" s="22"/>
      <c r="G45" s="106">
        <v>0.05</v>
      </c>
      <c r="H45" s="150" t="s">
        <v>144</v>
      </c>
      <c r="I45" s="177">
        <v>0.05</v>
      </c>
      <c r="J45" s="177"/>
      <c r="K45" s="177"/>
      <c r="L45" s="177"/>
    </row>
    <row r="46" spans="1:12" ht="22.5">
      <c r="A46" s="117" t="s">
        <v>141</v>
      </c>
      <c r="B46" s="21" t="s">
        <v>280</v>
      </c>
      <c r="C46" s="22"/>
      <c r="D46" s="22"/>
      <c r="E46" s="22"/>
      <c r="F46" s="22"/>
      <c r="G46" s="106">
        <v>0.08</v>
      </c>
      <c r="H46" s="150" t="s">
        <v>145</v>
      </c>
      <c r="I46" s="177">
        <v>0.03</v>
      </c>
      <c r="J46" s="177"/>
      <c r="K46" s="177"/>
      <c r="L46" s="177"/>
    </row>
    <row r="47" spans="1:12" ht="12" thickBot="1">
      <c r="A47" s="117"/>
      <c r="B47" s="22"/>
      <c r="C47" s="22"/>
      <c r="D47" s="22"/>
      <c r="E47" s="22"/>
      <c r="F47" s="22"/>
      <c r="G47" s="107"/>
      <c r="H47" s="178"/>
      <c r="I47" s="171"/>
      <c r="J47" s="171"/>
      <c r="K47" s="171"/>
      <c r="L47" s="171"/>
    </row>
    <row r="48" spans="1:12" ht="12" thickTop="1">
      <c r="A48" s="172"/>
      <c r="B48" s="80" t="s">
        <v>72</v>
      </c>
      <c r="C48" s="80"/>
      <c r="D48" s="80"/>
      <c r="E48" s="80"/>
      <c r="F48" s="80"/>
      <c r="G48" s="140"/>
      <c r="I48" s="173"/>
      <c r="J48" s="173"/>
      <c r="K48" s="173"/>
      <c r="L48" s="173"/>
    </row>
    <row r="49" spans="1:12" ht="11.25">
      <c r="A49" s="146"/>
      <c r="B49" s="92"/>
      <c r="C49" s="92"/>
      <c r="D49" s="92"/>
      <c r="E49" s="92"/>
      <c r="F49" s="92"/>
      <c r="G49" s="147"/>
      <c r="H49" s="179"/>
      <c r="I49" s="180"/>
      <c r="J49" s="180"/>
      <c r="K49" s="180"/>
      <c r="L49" s="180"/>
    </row>
    <row r="50" spans="1:12" ht="12">
      <c r="A50" s="117">
        <v>6</v>
      </c>
      <c r="B50" s="8" t="s">
        <v>101</v>
      </c>
      <c r="C50" s="8"/>
      <c r="D50" s="8"/>
      <c r="E50" s="8"/>
      <c r="F50" s="8"/>
      <c r="G50" s="34"/>
      <c r="H50" s="30"/>
      <c r="I50" s="53"/>
      <c r="J50" s="53"/>
      <c r="K50" s="203"/>
      <c r="L50" s="310"/>
    </row>
    <row r="51" spans="1:12" ht="11.25">
      <c r="A51" s="117"/>
      <c r="B51" s="10" t="s">
        <v>102</v>
      </c>
      <c r="G51" s="107"/>
      <c r="I51" s="171"/>
      <c r="J51" s="171"/>
      <c r="K51" s="203"/>
      <c r="L51" s="203"/>
    </row>
    <row r="52" spans="1:12" ht="11.25">
      <c r="A52" s="117"/>
      <c r="B52" s="10" t="s">
        <v>103</v>
      </c>
      <c r="G52" s="107"/>
      <c r="I52" s="171"/>
      <c r="J52" s="171"/>
      <c r="K52" s="203"/>
      <c r="L52" s="203"/>
    </row>
    <row r="53" spans="1:12" ht="11.25">
      <c r="A53" s="117"/>
      <c r="B53" s="10" t="s">
        <v>104</v>
      </c>
      <c r="G53" s="107"/>
      <c r="I53" s="171"/>
      <c r="J53" s="171"/>
      <c r="K53" s="203"/>
      <c r="L53" s="203"/>
    </row>
    <row r="54" spans="1:12" ht="11.25">
      <c r="A54" s="117"/>
      <c r="B54" s="10" t="s">
        <v>105</v>
      </c>
      <c r="G54" s="107"/>
      <c r="I54" s="171"/>
      <c r="J54" s="171"/>
      <c r="K54" s="203"/>
      <c r="L54" s="203"/>
    </row>
    <row r="55" spans="1:12" ht="12" thickBot="1">
      <c r="A55" s="117"/>
      <c r="B55" s="22"/>
      <c r="C55" s="22"/>
      <c r="D55" s="22"/>
      <c r="E55" s="22"/>
      <c r="F55" s="22"/>
      <c r="G55" s="107"/>
      <c r="I55" s="171"/>
      <c r="J55" s="171"/>
      <c r="K55" s="171"/>
      <c r="L55" s="171"/>
    </row>
    <row r="56" spans="1:12" ht="12" thickTop="1">
      <c r="A56" s="28" t="s">
        <v>142</v>
      </c>
      <c r="B56" s="80"/>
      <c r="C56" s="80"/>
      <c r="D56" s="80"/>
      <c r="E56" s="80"/>
      <c r="F56" s="80"/>
      <c r="G56" s="140"/>
      <c r="H56" s="141"/>
      <c r="I56" s="173"/>
      <c r="J56" s="173"/>
      <c r="K56" s="173"/>
      <c r="L56" s="173"/>
    </row>
    <row r="57" ht="11.25">
      <c r="A57" s="169"/>
    </row>
    <row r="58" ht="11.25">
      <c r="A58" s="169"/>
    </row>
    <row r="59" ht="11.25">
      <c r="A59" s="169"/>
    </row>
    <row r="60" ht="11.25">
      <c r="A60" s="169"/>
    </row>
    <row r="61" ht="11.25">
      <c r="A61" s="169"/>
    </row>
    <row r="62" ht="11.25">
      <c r="A62" s="169"/>
    </row>
    <row r="63" spans="1:2" ht="12">
      <c r="A63" s="169"/>
      <c r="B63" s="8"/>
    </row>
    <row r="64" ht="11.25">
      <c r="A64" s="169"/>
    </row>
    <row r="65" spans="1:2" ht="12">
      <c r="A65" s="169"/>
      <c r="B65" s="8"/>
    </row>
    <row r="66" ht="11.25">
      <c r="A66" s="169"/>
    </row>
    <row r="67" ht="11.25">
      <c r="A67" s="169"/>
    </row>
    <row r="68" ht="11.25">
      <c r="A68" s="169"/>
    </row>
    <row r="69" ht="11.25">
      <c r="A69" s="169"/>
    </row>
    <row r="70" ht="11.25">
      <c r="A70" s="169"/>
    </row>
    <row r="71" ht="11.25">
      <c r="A71" s="169"/>
    </row>
    <row r="72" ht="11.25">
      <c r="A72" s="169"/>
    </row>
    <row r="73" ht="11.25">
      <c r="A73" s="169"/>
    </row>
    <row r="74" ht="11.25">
      <c r="A74" s="169"/>
    </row>
    <row r="75" ht="11.25">
      <c r="A75" s="169"/>
    </row>
    <row r="76" ht="11.25">
      <c r="A76" s="169"/>
    </row>
    <row r="77" ht="11.25">
      <c r="A77" s="169"/>
    </row>
    <row r="78" ht="11.25">
      <c r="A78" s="169"/>
    </row>
    <row r="79" ht="11.25">
      <c r="A79" s="169"/>
    </row>
    <row r="80" ht="11.25">
      <c r="A80" s="169"/>
    </row>
    <row r="81" ht="11.25">
      <c r="A81" s="169"/>
    </row>
    <row r="82" ht="11.25">
      <c r="A82" s="169"/>
    </row>
    <row r="83" ht="11.25">
      <c r="A83" s="169"/>
    </row>
    <row r="84" ht="11.25">
      <c r="A84" s="169"/>
    </row>
    <row r="85" ht="11.25">
      <c r="A85" s="169"/>
    </row>
    <row r="86" ht="11.25">
      <c r="A86" s="169"/>
    </row>
    <row r="87" ht="11.25">
      <c r="A87" s="169"/>
    </row>
    <row r="88" ht="11.25">
      <c r="A88" s="169"/>
    </row>
    <row r="89" ht="11.25">
      <c r="A89" s="169"/>
    </row>
    <row r="90" spans="1:2" ht="12">
      <c r="A90" s="169"/>
      <c r="B90" s="8"/>
    </row>
    <row r="91" spans="1:2" ht="12">
      <c r="A91" s="169"/>
      <c r="B91" s="12"/>
    </row>
    <row r="92" ht="11.25">
      <c r="A92" s="169"/>
    </row>
    <row r="93" ht="11.25">
      <c r="A93" s="169"/>
    </row>
    <row r="94" ht="11.25">
      <c r="A94" s="169"/>
    </row>
    <row r="95" ht="11.25">
      <c r="A95" s="169"/>
    </row>
    <row r="96" ht="11.25">
      <c r="A96" s="169"/>
    </row>
    <row r="97" ht="11.25">
      <c r="A97" s="169"/>
    </row>
    <row r="98" ht="11.25">
      <c r="A98" s="169"/>
    </row>
    <row r="99" ht="11.25">
      <c r="A99" s="169"/>
    </row>
    <row r="100" ht="11.25">
      <c r="A100" s="169"/>
    </row>
    <row r="101" ht="11.25">
      <c r="A101" s="169"/>
    </row>
    <row r="102" ht="11.25">
      <c r="A102" s="169"/>
    </row>
    <row r="103" ht="11.25">
      <c r="A103" s="169"/>
    </row>
    <row r="104" ht="11.25">
      <c r="A104" s="169"/>
    </row>
    <row r="105" ht="11.25">
      <c r="A105" s="169"/>
    </row>
    <row r="106" ht="11.25">
      <c r="A106" s="169"/>
    </row>
    <row r="107" ht="11.25">
      <c r="A107" s="169"/>
    </row>
    <row r="108" ht="11.25">
      <c r="A108" s="169"/>
    </row>
    <row r="109" spans="1:2" ht="12">
      <c r="A109" s="169"/>
      <c r="B109" s="8"/>
    </row>
    <row r="110" ht="11.25">
      <c r="A110" s="169"/>
    </row>
    <row r="111" ht="11.25">
      <c r="A111" s="169"/>
    </row>
    <row r="112" ht="11.25">
      <c r="A112" s="169"/>
    </row>
    <row r="113" ht="11.25">
      <c r="A113" s="169"/>
    </row>
    <row r="114" ht="11.25">
      <c r="A114" s="169"/>
    </row>
    <row r="115" ht="11.25">
      <c r="A115" s="169"/>
    </row>
    <row r="116" ht="11.25">
      <c r="A116" s="169"/>
    </row>
    <row r="117" ht="11.25">
      <c r="A117" s="169"/>
    </row>
    <row r="118" spans="1:2" ht="12">
      <c r="A118" s="169"/>
      <c r="B118" s="8"/>
    </row>
    <row r="119" ht="11.25">
      <c r="A119" s="169"/>
    </row>
    <row r="120" spans="1:2" ht="12">
      <c r="A120" s="169"/>
      <c r="B120" s="12"/>
    </row>
    <row r="121" ht="11.25">
      <c r="A121" s="169"/>
    </row>
    <row r="122" ht="11.25">
      <c r="A122" s="169"/>
    </row>
    <row r="123" ht="11.25">
      <c r="A123" s="169"/>
    </row>
    <row r="124" ht="11.25">
      <c r="A124" s="169"/>
    </row>
    <row r="125" ht="11.25">
      <c r="A125" s="169"/>
    </row>
    <row r="126" ht="11.25">
      <c r="A126" s="169"/>
    </row>
    <row r="127" ht="11.25">
      <c r="A127" s="169"/>
    </row>
    <row r="128" ht="11.25">
      <c r="A128" s="169"/>
    </row>
    <row r="131" spans="1:2" ht="12">
      <c r="A131" s="169"/>
      <c r="B131" s="8"/>
    </row>
    <row r="132" ht="11.25">
      <c r="A132" s="169"/>
    </row>
    <row r="133" ht="11.25">
      <c r="A133" s="169"/>
    </row>
    <row r="134" ht="11.25">
      <c r="A134" s="169"/>
    </row>
    <row r="137" spans="1:2" ht="12">
      <c r="A137" s="169"/>
      <c r="B137" s="8"/>
    </row>
    <row r="138" spans="1:2" ht="12">
      <c r="A138" s="169"/>
      <c r="B138" s="8"/>
    </row>
    <row r="139" spans="1:2" ht="12">
      <c r="A139" s="169"/>
      <c r="B139" s="8"/>
    </row>
    <row r="141" ht="12">
      <c r="B141" s="8"/>
    </row>
  </sheetData>
  <mergeCells count="6">
    <mergeCell ref="K5:K6"/>
    <mergeCell ref="L5:L6"/>
    <mergeCell ref="C6:D6"/>
    <mergeCell ref="H5:H6"/>
    <mergeCell ref="I5:I6"/>
    <mergeCell ref="J5:J6"/>
  </mergeCells>
  <printOptions/>
  <pageMargins left="0.75" right="0.75" top="1" bottom="1" header="0.5" footer="0.5"/>
  <pageSetup fitToHeight="0" fitToWidth="1" horizontalDpi="1200" verticalDpi="1200" orientation="portrait" scale="48" r:id="rId1"/>
  <headerFooter alignWithMargins="0">
    <oddFooter>&amp;L&amp;"Braggadocio,Regular"CSP&amp;X2&amp;RPage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8" style="10" customWidth="1"/>
    <col min="2" max="2" width="13.66015625" style="21" customWidth="1"/>
    <col min="3" max="3" width="13.66015625" style="21" bestFit="1" customWidth="1"/>
    <col min="4" max="4" width="15.33203125" style="21" customWidth="1"/>
    <col min="5" max="5" width="13.66015625" style="21" bestFit="1" customWidth="1"/>
    <col min="6" max="9" width="13.66015625" style="21" customWidth="1"/>
    <col min="10" max="10" width="16.66015625" style="10" customWidth="1"/>
    <col min="11" max="12" width="14.83203125" style="10" bestFit="1" customWidth="1"/>
    <col min="13" max="155" width="12.83203125" style="10" bestFit="1" customWidth="1"/>
    <col min="156" max="156" width="14" style="10" bestFit="1" customWidth="1"/>
    <col min="157" max="16384" width="9.33203125" style="10" customWidth="1"/>
  </cols>
  <sheetData>
    <row r="1" spans="1:10" s="21" customFormat="1" ht="12">
      <c r="A1" s="87"/>
      <c r="B1" s="181" t="s">
        <v>203</v>
      </c>
      <c r="C1" s="182"/>
      <c r="D1" s="182"/>
      <c r="E1" s="182"/>
      <c r="F1" s="182"/>
      <c r="G1" s="182"/>
      <c r="H1" s="182"/>
      <c r="I1" s="182"/>
      <c r="J1" s="182"/>
    </row>
    <row r="2" spans="2:10" s="21" customFormat="1" ht="12">
      <c r="B2" s="181" t="s">
        <v>192</v>
      </c>
      <c r="C2" s="182"/>
      <c r="D2" s="182"/>
      <c r="E2" s="182"/>
      <c r="F2" s="182"/>
      <c r="G2" s="182"/>
      <c r="H2" s="182"/>
      <c r="I2" s="182"/>
      <c r="J2" s="182"/>
    </row>
    <row r="3" spans="2:10" s="21" customFormat="1" ht="12">
      <c r="B3" s="351" t="s">
        <v>265</v>
      </c>
      <c r="C3" s="352"/>
      <c r="D3" s="352"/>
      <c r="E3" s="352"/>
      <c r="F3" s="352"/>
      <c r="G3" s="352"/>
      <c r="H3" s="352"/>
      <c r="I3" s="352"/>
      <c r="J3" s="352"/>
    </row>
    <row r="4" spans="2:10" s="21" customFormat="1" ht="12">
      <c r="B4" s="181"/>
      <c r="C4" s="182"/>
      <c r="D4" s="182"/>
      <c r="E4" s="182"/>
      <c r="F4" s="182"/>
      <c r="G4" s="182"/>
      <c r="H4" s="182"/>
      <c r="I4" s="182"/>
      <c r="J4" s="182"/>
    </row>
    <row r="5" s="21" customFormat="1" ht="11.25"/>
    <row r="6" spans="1:12" ht="11.25">
      <c r="A6" s="353" t="s">
        <v>193</v>
      </c>
      <c r="B6" s="355" t="s">
        <v>194</v>
      </c>
      <c r="C6" s="355"/>
      <c r="D6" s="355"/>
      <c r="E6" s="355"/>
      <c r="F6" s="356"/>
      <c r="G6" s="356"/>
      <c r="H6" s="356"/>
      <c r="I6" s="356"/>
      <c r="J6" s="357" t="s">
        <v>195</v>
      </c>
      <c r="K6" s="183" t="s">
        <v>196</v>
      </c>
      <c r="L6" s="184" t="s">
        <v>197</v>
      </c>
    </row>
    <row r="7" spans="1:12" ht="11.25">
      <c r="A7" s="329"/>
      <c r="B7" s="356" t="s">
        <v>198</v>
      </c>
      <c r="C7" s="356"/>
      <c r="D7" s="356"/>
      <c r="E7" s="356"/>
      <c r="F7" s="360" t="s">
        <v>191</v>
      </c>
      <c r="G7" s="361"/>
      <c r="H7" s="361"/>
      <c r="I7" s="362"/>
      <c r="J7" s="358"/>
      <c r="K7" s="185" t="s">
        <v>199</v>
      </c>
      <c r="L7" s="186" t="s">
        <v>200</v>
      </c>
    </row>
    <row r="8" spans="1:12" ht="33.75">
      <c r="A8" s="354"/>
      <c r="B8" s="187" t="s">
        <v>204</v>
      </c>
      <c r="C8" s="187" t="s">
        <v>205</v>
      </c>
      <c r="D8" s="187" t="s">
        <v>54</v>
      </c>
      <c r="E8" s="187" t="s">
        <v>201</v>
      </c>
      <c r="F8" s="187" t="s">
        <v>206</v>
      </c>
      <c r="G8" s="187" t="s">
        <v>207</v>
      </c>
      <c r="H8" s="187" t="s">
        <v>212</v>
      </c>
      <c r="I8" s="187" t="s">
        <v>211</v>
      </c>
      <c r="J8" s="359"/>
      <c r="K8" s="188">
        <v>0.03</v>
      </c>
      <c r="L8" s="189">
        <v>0.05</v>
      </c>
    </row>
    <row r="9" spans="1:12" ht="11.25">
      <c r="A9" s="265">
        <v>0</v>
      </c>
      <c r="B9" s="266">
        <f>'Capital Cost Estimate'!$K$162/3</f>
        <v>187552.61</v>
      </c>
      <c r="C9" s="266"/>
      <c r="D9" s="266"/>
      <c r="E9" s="266">
        <f>'Capital Cost Estimate'!$K$175</f>
        <v>160605.48</v>
      </c>
      <c r="F9" s="266"/>
      <c r="G9" s="266">
        <f>'Operating Cost Estimate'!$H$63/6</f>
        <v>45105.62</v>
      </c>
      <c r="H9" s="266">
        <f>('Operating Cost Estimate'!$H$65*(4/20))</f>
        <v>49796.264</v>
      </c>
      <c r="I9" s="267"/>
      <c r="J9" s="268">
        <f aca="true" t="shared" si="0" ref="J9:J38">SUM(B9:I9)</f>
        <v>443059.974</v>
      </c>
      <c r="K9" s="269">
        <f>($J9*((1+K$8)^A9))</f>
        <v>443059.974</v>
      </c>
      <c r="L9" s="270">
        <f aca="true" t="shared" si="1" ref="L9:L38">J9*((1+K$8-L$8)^A9)</f>
        <v>443059.974</v>
      </c>
    </row>
    <row r="10" spans="1:12" ht="11.25">
      <c r="A10" s="265">
        <f>1+A9</f>
        <v>1</v>
      </c>
      <c r="B10" s="266">
        <f>'Capital Cost Estimate'!$K$162/3</f>
        <v>187552.61</v>
      </c>
      <c r="C10" s="266"/>
      <c r="D10" s="266"/>
      <c r="E10" s="266"/>
      <c r="F10" s="266">
        <f>'Operating Cost Estimate'!$H$62/5</f>
        <v>642422.452</v>
      </c>
      <c r="G10" s="266">
        <f>'Operating Cost Estimate'!$H$63/6</f>
        <v>45105.62</v>
      </c>
      <c r="H10" s="266">
        <f>('Operating Cost Estimate'!$H$65*(4/20))</f>
        <v>49796.264</v>
      </c>
      <c r="I10" s="267"/>
      <c r="J10" s="271">
        <f t="shared" si="0"/>
        <v>924876.946</v>
      </c>
      <c r="K10" s="270">
        <f aca="true" t="shared" si="2" ref="K10:K18">(J10*((1+K$8)^A10)-1)</f>
        <v>952622.25438</v>
      </c>
      <c r="L10" s="270">
        <f t="shared" si="1"/>
        <v>906379.40708</v>
      </c>
    </row>
    <row r="11" spans="1:12" ht="11.25">
      <c r="A11" s="265">
        <f aca="true" t="shared" si="3" ref="A11:A38">1+A10</f>
        <v>2</v>
      </c>
      <c r="B11" s="266">
        <f>'Capital Cost Estimate'!$K$162/3</f>
        <v>187552.61</v>
      </c>
      <c r="C11" s="266"/>
      <c r="D11" s="266"/>
      <c r="E11" s="266"/>
      <c r="F11" s="266">
        <f>'Operating Cost Estimate'!$H$62/5</f>
        <v>642422.452</v>
      </c>
      <c r="G11" s="266">
        <f>'Operating Cost Estimate'!$H$63/6</f>
        <v>45105.62</v>
      </c>
      <c r="H11" s="266">
        <f>('Operating Cost Estimate'!$H$65*(1/20))</f>
        <v>12449.066</v>
      </c>
      <c r="I11" s="267"/>
      <c r="J11" s="271">
        <f t="shared" si="0"/>
        <v>887529.748</v>
      </c>
      <c r="K11" s="270">
        <f t="shared" si="2"/>
        <v>941579.3096532</v>
      </c>
      <c r="L11" s="270">
        <f t="shared" si="1"/>
        <v>852383.5699791999</v>
      </c>
    </row>
    <row r="12" spans="1:12" ht="11.25">
      <c r="A12" s="265">
        <f t="shared" si="3"/>
        <v>3</v>
      </c>
      <c r="B12" s="266"/>
      <c r="C12" s="266">
        <f>'Capital Cost Estimate'!$K$170/2</f>
        <v>2221033.5000000005</v>
      </c>
      <c r="D12" s="266"/>
      <c r="E12" s="272"/>
      <c r="F12" s="266">
        <f>'Operating Cost Estimate'!$H$62/5</f>
        <v>642422.452</v>
      </c>
      <c r="G12" s="266">
        <f>'Operating Cost Estimate'!$H$63/6</f>
        <v>45105.62</v>
      </c>
      <c r="H12" s="266">
        <f>('Operating Cost Estimate'!$H$65*(1/20))</f>
        <v>12449.066</v>
      </c>
      <c r="I12" s="267"/>
      <c r="J12" s="271">
        <f t="shared" si="0"/>
        <v>2921010.6380000007</v>
      </c>
      <c r="K12" s="270">
        <f t="shared" si="2"/>
        <v>3191866.191429827</v>
      </c>
      <c r="L12" s="270">
        <f t="shared" si="1"/>
        <v>2749231.844400496</v>
      </c>
    </row>
    <row r="13" spans="1:12" ht="11.25">
      <c r="A13" s="265">
        <f t="shared" si="3"/>
        <v>4</v>
      </c>
      <c r="B13" s="266"/>
      <c r="C13" s="266">
        <f>'Capital Cost Estimate'!$K$170/2</f>
        <v>2221033.5000000005</v>
      </c>
      <c r="D13" s="266"/>
      <c r="E13" s="266"/>
      <c r="F13" s="266">
        <f>'Operating Cost Estimate'!$H$62/5</f>
        <v>642422.452</v>
      </c>
      <c r="G13" s="266">
        <f>'Operating Cost Estimate'!$H$63/6</f>
        <v>45105.62</v>
      </c>
      <c r="H13" s="266">
        <f>('Operating Cost Estimate'!$H$65*(1/20))+('Operating Cost Estimate'!$H$66/6)+('Operating Cost Estimate'!$H$67/6)</f>
        <v>47103.546</v>
      </c>
      <c r="I13" s="267"/>
      <c r="J13" s="271">
        <f t="shared" si="0"/>
        <v>2955665.1180000007</v>
      </c>
      <c r="K13" s="270">
        <f t="shared" si="2"/>
        <v>3326626.12971869</v>
      </c>
      <c r="L13" s="270">
        <f t="shared" si="1"/>
        <v>2726211.396465843</v>
      </c>
    </row>
    <row r="14" spans="1:12" ht="11.25">
      <c r="A14" s="265">
        <f t="shared" si="3"/>
        <v>5</v>
      </c>
      <c r="B14" s="266"/>
      <c r="C14" s="273"/>
      <c r="D14" s="266"/>
      <c r="E14" s="266"/>
      <c r="F14" s="266">
        <f>'Operating Cost Estimate'!$H$62/5</f>
        <v>642422.452</v>
      </c>
      <c r="G14" s="266">
        <f>'Operating Cost Estimate'!$H$63/6</f>
        <v>45105.62</v>
      </c>
      <c r="H14" s="266">
        <f>('Operating Cost Estimate'!$H$65*(1/20))</f>
        <v>12449.066</v>
      </c>
      <c r="I14" s="267"/>
      <c r="J14" s="271">
        <f t="shared" si="0"/>
        <v>699977.138</v>
      </c>
      <c r="K14" s="270">
        <f t="shared" si="2"/>
        <v>811464.3486861133</v>
      </c>
      <c r="L14" s="270">
        <f t="shared" si="1"/>
        <v>632723.8923227434</v>
      </c>
    </row>
    <row r="15" spans="1:12" ht="11.25">
      <c r="A15" s="265">
        <f t="shared" si="3"/>
        <v>6</v>
      </c>
      <c r="B15" s="266"/>
      <c r="C15" s="266"/>
      <c r="D15" s="266"/>
      <c r="E15" s="266"/>
      <c r="F15" s="266"/>
      <c r="G15" s="266"/>
      <c r="H15" s="266">
        <f>('Operating Cost Estimate'!$H$65*(1/20))</f>
        <v>12449.066</v>
      </c>
      <c r="I15" s="267"/>
      <c r="J15" s="271">
        <f t="shared" si="0"/>
        <v>12449.066</v>
      </c>
      <c r="K15" s="270">
        <f t="shared" si="2"/>
        <v>14863.835846941092</v>
      </c>
      <c r="L15" s="270">
        <f t="shared" si="1"/>
        <v>11027.91026497307</v>
      </c>
    </row>
    <row r="16" spans="1:12" ht="11.25">
      <c r="A16" s="265">
        <f t="shared" si="3"/>
        <v>7</v>
      </c>
      <c r="B16" s="266"/>
      <c r="C16" s="266"/>
      <c r="D16" s="266"/>
      <c r="E16" s="266"/>
      <c r="F16" s="266"/>
      <c r="G16" s="266"/>
      <c r="H16" s="266">
        <f>('Operating Cost Estimate'!$H$65*(1/20))</f>
        <v>12449.066</v>
      </c>
      <c r="I16" s="267"/>
      <c r="J16" s="271">
        <f t="shared" si="0"/>
        <v>12449.066</v>
      </c>
      <c r="K16" s="270">
        <f t="shared" si="2"/>
        <v>15309.780922349326</v>
      </c>
      <c r="L16" s="270">
        <f t="shared" si="1"/>
        <v>10807.35205967361</v>
      </c>
    </row>
    <row r="17" spans="1:12" ht="11.25">
      <c r="A17" s="265">
        <f t="shared" si="3"/>
        <v>8</v>
      </c>
      <c r="B17" s="266"/>
      <c r="C17" s="266"/>
      <c r="D17" s="266"/>
      <c r="E17" s="266"/>
      <c r="F17" s="266"/>
      <c r="G17" s="266"/>
      <c r="H17" s="266">
        <f>('Operating Cost Estimate'!$H$65*(1/20))</f>
        <v>12449.066</v>
      </c>
      <c r="I17" s="267"/>
      <c r="J17" s="271">
        <f t="shared" si="0"/>
        <v>12449.066</v>
      </c>
      <c r="K17" s="270">
        <f t="shared" si="2"/>
        <v>15769.104350019803</v>
      </c>
      <c r="L17" s="270">
        <f t="shared" si="1"/>
        <v>10591.205018480137</v>
      </c>
    </row>
    <row r="18" spans="1:12" ht="11.25">
      <c r="A18" s="265">
        <f t="shared" si="3"/>
        <v>9</v>
      </c>
      <c r="B18" s="266"/>
      <c r="C18" s="266"/>
      <c r="D18" s="266"/>
      <c r="E18" s="266"/>
      <c r="F18" s="266"/>
      <c r="G18" s="266"/>
      <c r="H18" s="266">
        <f>('Operating Cost Estimate'!$H$65*(1/20))+('Operating Cost Estimate'!$H$66/6)+('Operating Cost Estimate'!$H$67/6)</f>
        <v>47103.546</v>
      </c>
      <c r="I18" s="267"/>
      <c r="J18" s="271">
        <f t="shared" si="0"/>
        <v>47103.546</v>
      </c>
      <c r="K18" s="270">
        <f t="shared" si="2"/>
        <v>61458.44368406727</v>
      </c>
      <c r="L18" s="270">
        <f t="shared" si="1"/>
        <v>39272.47606589457</v>
      </c>
    </row>
    <row r="19" spans="1:12" ht="11.25">
      <c r="A19" s="265">
        <f t="shared" si="3"/>
        <v>10</v>
      </c>
      <c r="B19" s="266"/>
      <c r="C19" s="266"/>
      <c r="D19" s="266"/>
      <c r="E19" s="266"/>
      <c r="F19" s="266"/>
      <c r="G19" s="266"/>
      <c r="H19" s="266"/>
      <c r="I19" s="267"/>
      <c r="J19" s="271">
        <f t="shared" si="0"/>
        <v>0</v>
      </c>
      <c r="K19" s="270"/>
      <c r="L19" s="270">
        <f t="shared" si="1"/>
        <v>0</v>
      </c>
    </row>
    <row r="20" spans="1:12" ht="11.25">
      <c r="A20" s="265">
        <f t="shared" si="3"/>
        <v>11</v>
      </c>
      <c r="B20" s="266"/>
      <c r="C20" s="266"/>
      <c r="D20" s="266"/>
      <c r="E20" s="266"/>
      <c r="F20" s="266"/>
      <c r="G20" s="266"/>
      <c r="H20" s="266"/>
      <c r="I20" s="267"/>
      <c r="J20" s="271">
        <f t="shared" si="0"/>
        <v>0</v>
      </c>
      <c r="K20" s="270"/>
      <c r="L20" s="270">
        <f t="shared" si="1"/>
        <v>0</v>
      </c>
    </row>
    <row r="21" spans="1:12" ht="11.25">
      <c r="A21" s="265">
        <f t="shared" si="3"/>
        <v>12</v>
      </c>
      <c r="B21" s="266"/>
      <c r="C21" s="266"/>
      <c r="D21" s="266"/>
      <c r="E21" s="266"/>
      <c r="F21" s="266"/>
      <c r="G21" s="266"/>
      <c r="H21" s="266"/>
      <c r="I21" s="267"/>
      <c r="J21" s="271">
        <f t="shared" si="0"/>
        <v>0</v>
      </c>
      <c r="K21" s="270"/>
      <c r="L21" s="270">
        <f t="shared" si="1"/>
        <v>0</v>
      </c>
    </row>
    <row r="22" spans="1:12" ht="11.25">
      <c r="A22" s="265">
        <f t="shared" si="3"/>
        <v>13</v>
      </c>
      <c r="B22" s="266"/>
      <c r="C22" s="266"/>
      <c r="D22" s="266"/>
      <c r="E22" s="266"/>
      <c r="F22" s="266"/>
      <c r="G22" s="266"/>
      <c r="H22" s="266"/>
      <c r="I22" s="267"/>
      <c r="J22" s="271">
        <f t="shared" si="0"/>
        <v>0</v>
      </c>
      <c r="K22" s="270"/>
      <c r="L22" s="270">
        <f t="shared" si="1"/>
        <v>0</v>
      </c>
    </row>
    <row r="23" spans="1:12" ht="11.25">
      <c r="A23" s="265">
        <f t="shared" si="3"/>
        <v>14</v>
      </c>
      <c r="B23" s="266"/>
      <c r="C23" s="266"/>
      <c r="D23" s="266"/>
      <c r="E23" s="266"/>
      <c r="F23" s="266"/>
      <c r="G23" s="266"/>
      <c r="H23" s="266">
        <f>('Operating Cost Estimate'!$H$65*(1/20))+('Operating Cost Estimate'!$H$66/6)+('Operating Cost Estimate'!$H$67/6)</f>
        <v>47103.546</v>
      </c>
      <c r="I23" s="267"/>
      <c r="J23" s="271">
        <f t="shared" si="0"/>
        <v>47103.546</v>
      </c>
      <c r="K23" s="270">
        <f>(J23*((1+K$8)^A23)-1)</f>
        <v>71247.33968384007</v>
      </c>
      <c r="L23" s="270">
        <f t="shared" si="1"/>
        <v>35499.20785779234</v>
      </c>
    </row>
    <row r="24" spans="1:12" ht="11.25">
      <c r="A24" s="265">
        <f t="shared" si="3"/>
        <v>15</v>
      </c>
      <c r="B24" s="266"/>
      <c r="C24" s="266"/>
      <c r="D24" s="266"/>
      <c r="E24" s="266"/>
      <c r="F24" s="266"/>
      <c r="G24" s="266"/>
      <c r="H24" s="266"/>
      <c r="I24" s="267"/>
      <c r="J24" s="271">
        <f t="shared" si="0"/>
        <v>0</v>
      </c>
      <c r="K24" s="270"/>
      <c r="L24" s="270">
        <f t="shared" si="1"/>
        <v>0</v>
      </c>
    </row>
    <row r="25" spans="1:12" ht="11.25">
      <c r="A25" s="265">
        <f t="shared" si="3"/>
        <v>16</v>
      </c>
      <c r="B25" s="266"/>
      <c r="C25" s="266"/>
      <c r="D25" s="266"/>
      <c r="E25" s="266"/>
      <c r="F25" s="266"/>
      <c r="G25" s="266"/>
      <c r="H25" s="266"/>
      <c r="I25" s="267"/>
      <c r="J25" s="271">
        <f t="shared" si="0"/>
        <v>0</v>
      </c>
      <c r="K25" s="270"/>
      <c r="L25" s="270">
        <f t="shared" si="1"/>
        <v>0</v>
      </c>
    </row>
    <row r="26" spans="1:12" ht="11.25">
      <c r="A26" s="265">
        <f t="shared" si="3"/>
        <v>17</v>
      </c>
      <c r="B26" s="266"/>
      <c r="C26" s="266"/>
      <c r="D26" s="266"/>
      <c r="E26" s="266"/>
      <c r="F26" s="266"/>
      <c r="G26" s="266"/>
      <c r="H26" s="266"/>
      <c r="I26" s="267"/>
      <c r="J26" s="271">
        <f t="shared" si="0"/>
        <v>0</v>
      </c>
      <c r="K26" s="270"/>
      <c r="L26" s="270">
        <f t="shared" si="1"/>
        <v>0</v>
      </c>
    </row>
    <row r="27" spans="1:12" ht="11.25">
      <c r="A27" s="265">
        <f t="shared" si="3"/>
        <v>18</v>
      </c>
      <c r="B27" s="266"/>
      <c r="C27" s="266"/>
      <c r="D27" s="266"/>
      <c r="E27" s="266"/>
      <c r="F27" s="266"/>
      <c r="G27" s="266"/>
      <c r="H27" s="266"/>
      <c r="I27" s="267"/>
      <c r="J27" s="271">
        <f t="shared" si="0"/>
        <v>0</v>
      </c>
      <c r="K27" s="270"/>
      <c r="L27" s="270">
        <f t="shared" si="1"/>
        <v>0</v>
      </c>
    </row>
    <row r="28" spans="1:12" ht="11.25">
      <c r="A28" s="265">
        <f t="shared" si="3"/>
        <v>19</v>
      </c>
      <c r="B28" s="266"/>
      <c r="C28" s="266"/>
      <c r="D28" s="266"/>
      <c r="E28" s="266"/>
      <c r="F28" s="266"/>
      <c r="G28" s="266"/>
      <c r="H28" s="266">
        <f>('Operating Cost Estimate'!$H$65*(1/20))+('Operating Cost Estimate'!$H$66/6)+('Operating Cost Estimate'!$H$67/6)</f>
        <v>47103.546</v>
      </c>
      <c r="I28" s="267"/>
      <c r="J28" s="271">
        <f t="shared" si="0"/>
        <v>47103.546</v>
      </c>
      <c r="K28" s="270">
        <f>(J28*((1+K$8)^A28)-1)</f>
        <v>82595.35303239564</v>
      </c>
      <c r="L28" s="270">
        <f t="shared" si="1"/>
        <v>32088.472252584466</v>
      </c>
    </row>
    <row r="29" spans="1:12" ht="11.25">
      <c r="A29" s="265">
        <f t="shared" si="3"/>
        <v>20</v>
      </c>
      <c r="B29" s="266"/>
      <c r="C29" s="266"/>
      <c r="D29" s="266"/>
      <c r="E29" s="266"/>
      <c r="F29" s="266"/>
      <c r="G29" s="266"/>
      <c r="H29" s="266"/>
      <c r="I29" s="267"/>
      <c r="J29" s="271">
        <f t="shared" si="0"/>
        <v>0</v>
      </c>
      <c r="K29" s="270"/>
      <c r="L29" s="270">
        <f t="shared" si="1"/>
        <v>0</v>
      </c>
    </row>
    <row r="30" spans="1:12" ht="11.25">
      <c r="A30" s="265">
        <f t="shared" si="3"/>
        <v>21</v>
      </c>
      <c r="B30" s="266"/>
      <c r="C30" s="266"/>
      <c r="D30" s="266"/>
      <c r="E30" s="266"/>
      <c r="F30" s="266"/>
      <c r="G30" s="266"/>
      <c r="H30" s="266"/>
      <c r="I30" s="267"/>
      <c r="J30" s="271">
        <f t="shared" si="0"/>
        <v>0</v>
      </c>
      <c r="K30" s="270"/>
      <c r="L30" s="270">
        <f t="shared" si="1"/>
        <v>0</v>
      </c>
    </row>
    <row r="31" spans="1:12" ht="11.25">
      <c r="A31" s="265">
        <f t="shared" si="3"/>
        <v>22</v>
      </c>
      <c r="B31" s="266"/>
      <c r="C31" s="266"/>
      <c r="D31" s="266"/>
      <c r="E31" s="266"/>
      <c r="F31" s="266"/>
      <c r="G31" s="266"/>
      <c r="H31" s="266"/>
      <c r="I31" s="267"/>
      <c r="J31" s="271">
        <f t="shared" si="0"/>
        <v>0</v>
      </c>
      <c r="K31" s="270"/>
      <c r="L31" s="270">
        <f t="shared" si="1"/>
        <v>0</v>
      </c>
    </row>
    <row r="32" spans="1:12" ht="11.25">
      <c r="A32" s="265">
        <f t="shared" si="3"/>
        <v>23</v>
      </c>
      <c r="B32" s="266"/>
      <c r="C32" s="266"/>
      <c r="D32" s="266"/>
      <c r="E32" s="266"/>
      <c r="F32" s="266"/>
      <c r="G32" s="266"/>
      <c r="H32" s="266"/>
      <c r="I32" s="267"/>
      <c r="J32" s="271">
        <f t="shared" si="0"/>
        <v>0</v>
      </c>
      <c r="K32" s="270"/>
      <c r="L32" s="270">
        <f t="shared" si="1"/>
        <v>0</v>
      </c>
    </row>
    <row r="33" spans="1:12" ht="11.25">
      <c r="A33" s="265">
        <f t="shared" si="3"/>
        <v>24</v>
      </c>
      <c r="B33" s="266"/>
      <c r="C33" s="266"/>
      <c r="D33" s="266"/>
      <c r="E33" s="266"/>
      <c r="F33" s="266"/>
      <c r="G33" s="266"/>
      <c r="H33" s="266">
        <f>('Operating Cost Estimate'!$H$65*(1/20))+('Operating Cost Estimate'!$H$66/6)+('Operating Cost Estimate'!$H$67/6)</f>
        <v>47103.546</v>
      </c>
      <c r="I33" s="267"/>
      <c r="J33" s="271">
        <f t="shared" si="0"/>
        <v>47103.546</v>
      </c>
      <c r="K33" s="270">
        <f>(J33*((1+K$8)^A33)-1)</f>
        <v>95750.81070218644</v>
      </c>
      <c r="L33" s="270">
        <f t="shared" si="1"/>
        <v>29005.43740665084</v>
      </c>
    </row>
    <row r="34" spans="1:12" ht="11.25">
      <c r="A34" s="265">
        <f t="shared" si="3"/>
        <v>25</v>
      </c>
      <c r="B34" s="266"/>
      <c r="C34" s="266"/>
      <c r="D34" s="266"/>
      <c r="E34" s="266"/>
      <c r="F34" s="266"/>
      <c r="G34" s="266"/>
      <c r="H34" s="266"/>
      <c r="I34" s="267"/>
      <c r="J34" s="271">
        <f t="shared" si="0"/>
        <v>0</v>
      </c>
      <c r="K34" s="270"/>
      <c r="L34" s="270">
        <f t="shared" si="1"/>
        <v>0</v>
      </c>
    </row>
    <row r="35" spans="1:12" ht="11.25">
      <c r="A35" s="265">
        <f t="shared" si="3"/>
        <v>26</v>
      </c>
      <c r="B35" s="266"/>
      <c r="C35" s="266"/>
      <c r="D35" s="266"/>
      <c r="E35" s="266"/>
      <c r="F35" s="266"/>
      <c r="G35" s="266"/>
      <c r="H35" s="266"/>
      <c r="I35" s="267"/>
      <c r="J35" s="271">
        <f t="shared" si="0"/>
        <v>0</v>
      </c>
      <c r="K35" s="270"/>
      <c r="L35" s="270">
        <f t="shared" si="1"/>
        <v>0</v>
      </c>
    </row>
    <row r="36" spans="1:12" ht="11.25">
      <c r="A36" s="265">
        <f t="shared" si="3"/>
        <v>27</v>
      </c>
      <c r="B36" s="266"/>
      <c r="C36" s="266"/>
      <c r="D36" s="266"/>
      <c r="E36" s="266"/>
      <c r="F36" s="266"/>
      <c r="G36" s="266"/>
      <c r="H36" s="266"/>
      <c r="I36" s="267"/>
      <c r="J36" s="271">
        <f t="shared" si="0"/>
        <v>0</v>
      </c>
      <c r="K36" s="270"/>
      <c r="L36" s="270">
        <f t="shared" si="1"/>
        <v>0</v>
      </c>
    </row>
    <row r="37" spans="1:12" ht="11.25">
      <c r="A37" s="265">
        <f t="shared" si="3"/>
        <v>28</v>
      </c>
      <c r="B37" s="266"/>
      <c r="C37" s="266"/>
      <c r="D37" s="266"/>
      <c r="E37" s="266"/>
      <c r="F37" s="266"/>
      <c r="G37" s="266"/>
      <c r="H37" s="266"/>
      <c r="I37" s="267"/>
      <c r="J37" s="271">
        <f t="shared" si="0"/>
        <v>0</v>
      </c>
      <c r="K37" s="270"/>
      <c r="L37" s="270">
        <f t="shared" si="1"/>
        <v>0</v>
      </c>
    </row>
    <row r="38" spans="1:12" ht="11.25">
      <c r="A38" s="265">
        <f t="shared" si="3"/>
        <v>29</v>
      </c>
      <c r="B38" s="266"/>
      <c r="C38" s="266"/>
      <c r="D38" s="266"/>
      <c r="E38" s="266"/>
      <c r="F38" s="266"/>
      <c r="G38" s="266"/>
      <c r="H38" s="266">
        <f>('Operating Cost Estimate'!$H$65*(1/20))+('Operating Cost Estimate'!$H$66/6)+('Operating Cost Estimate'!$H$67/6)</f>
        <v>47103.546</v>
      </c>
      <c r="I38" s="267"/>
      <c r="J38" s="271">
        <f t="shared" si="0"/>
        <v>47103.546</v>
      </c>
      <c r="K38" s="270">
        <f>(J38*((1+K$8)^A38)-1)</f>
        <v>111001.591714326</v>
      </c>
      <c r="L38" s="270">
        <f t="shared" si="1"/>
        <v>26218.618092152345</v>
      </c>
    </row>
    <row r="39" spans="1:12" s="21" customFormat="1" ht="11.25">
      <c r="A39" s="191" t="s">
        <v>202</v>
      </c>
      <c r="B39" s="192">
        <f aca="true" t="shared" si="4" ref="B39:L39">SUM(B9:B38)</f>
        <v>562657.83</v>
      </c>
      <c r="C39" s="193">
        <f t="shared" si="4"/>
        <v>4442067.000000001</v>
      </c>
      <c r="D39" s="193">
        <f t="shared" si="4"/>
        <v>0</v>
      </c>
      <c r="E39" s="193">
        <f t="shared" si="4"/>
        <v>160605.48</v>
      </c>
      <c r="F39" s="193">
        <f t="shared" si="4"/>
        <v>3212112.2600000002</v>
      </c>
      <c r="G39" s="193">
        <f t="shared" si="4"/>
        <v>270633.72000000003</v>
      </c>
      <c r="H39" s="193">
        <f t="shared" si="4"/>
        <v>456908.19999999984</v>
      </c>
      <c r="I39" s="193">
        <f t="shared" si="4"/>
        <v>0</v>
      </c>
      <c r="J39" s="193">
        <f t="shared" si="4"/>
        <v>9104984.49</v>
      </c>
      <c r="K39" s="193">
        <f t="shared" si="4"/>
        <v>10135214.467803957</v>
      </c>
      <c r="L39" s="193">
        <f t="shared" si="4"/>
        <v>8504500.763266487</v>
      </c>
    </row>
    <row r="40" s="21" customFormat="1" ht="11.25"/>
    <row r="41" spans="2:12" s="21" customFormat="1" ht="11.25">
      <c r="B41" s="99"/>
      <c r="C41" s="99"/>
      <c r="D41" s="99"/>
      <c r="E41" s="99"/>
      <c r="F41" s="99"/>
      <c r="G41" s="99"/>
      <c r="H41" s="99"/>
      <c r="I41" s="99"/>
      <c r="J41" s="99"/>
      <c r="L41" s="194"/>
    </row>
    <row r="42" spans="1:10" s="21" customFormat="1" ht="11.25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s="21" customFormat="1" ht="11.25">
      <c r="A43" s="99"/>
      <c r="B43" s="99"/>
      <c r="C43" s="99"/>
      <c r="D43" s="99"/>
      <c r="E43" s="99"/>
      <c r="F43" s="99"/>
      <c r="G43" s="99"/>
      <c r="H43" s="99"/>
      <c r="I43" s="99"/>
      <c r="J43" s="195"/>
    </row>
    <row r="44" spans="1:10" s="21" customFormat="1" ht="11.25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 s="21" customFormat="1" ht="11.25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6" spans="1:10" s="21" customFormat="1" ht="11.25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 s="21" customFormat="1" ht="11.25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 s="21" customFormat="1" ht="11.25">
      <c r="A48" s="99"/>
      <c r="B48" s="99"/>
      <c r="C48" s="99"/>
      <c r="D48" s="99"/>
      <c r="E48" s="99"/>
      <c r="F48" s="99"/>
      <c r="G48" s="99"/>
      <c r="H48" s="99"/>
      <c r="I48" s="99"/>
      <c r="J48" s="99"/>
    </row>
    <row r="49" spans="1:10" s="21" customFormat="1" ht="11.25">
      <c r="A49" s="99"/>
      <c r="B49" s="99"/>
      <c r="C49" s="99"/>
      <c r="D49" s="99"/>
      <c r="E49" s="99"/>
      <c r="F49" s="99"/>
      <c r="G49" s="99"/>
      <c r="H49" s="99"/>
      <c r="I49" s="99"/>
      <c r="J49" s="99"/>
    </row>
    <row r="50" spans="1:10" s="21" customFormat="1" ht="11.25">
      <c r="A50" s="99"/>
      <c r="B50" s="99"/>
      <c r="C50" s="99"/>
      <c r="D50" s="99"/>
      <c r="E50" s="99"/>
      <c r="F50" s="99"/>
      <c r="G50" s="99"/>
      <c r="H50" s="99"/>
      <c r="I50" s="99"/>
      <c r="J50" s="99"/>
    </row>
    <row r="51" spans="1:10" s="21" customFormat="1" ht="11.25">
      <c r="A51" s="99"/>
      <c r="B51" s="99"/>
      <c r="C51" s="99"/>
      <c r="D51" s="99"/>
      <c r="E51" s="99"/>
      <c r="F51" s="99"/>
      <c r="G51" s="99"/>
      <c r="H51" s="99"/>
      <c r="I51" s="99"/>
      <c r="J51" s="99"/>
    </row>
    <row r="52" spans="1:10" s="21" customFormat="1" ht="11.25">
      <c r="A52" s="99"/>
      <c r="B52" s="99"/>
      <c r="C52" s="99"/>
      <c r="D52" s="99"/>
      <c r="E52" s="99"/>
      <c r="F52" s="99"/>
      <c r="G52" s="99"/>
      <c r="H52" s="99"/>
      <c r="I52" s="99"/>
      <c r="J52" s="99"/>
    </row>
    <row r="53" spans="1:10" s="21" customFormat="1" ht="11.25">
      <c r="A53" s="99"/>
      <c r="B53" s="99"/>
      <c r="C53" s="99"/>
      <c r="D53" s="99"/>
      <c r="E53" s="99"/>
      <c r="F53" s="99"/>
      <c r="G53" s="99"/>
      <c r="H53" s="99"/>
      <c r="I53" s="99"/>
      <c r="J53" s="99"/>
    </row>
    <row r="54" spans="1:10" s="21" customFormat="1" ht="11.25">
      <c r="A54" s="99"/>
      <c r="B54" s="99"/>
      <c r="C54" s="99"/>
      <c r="D54" s="99"/>
      <c r="E54" s="99"/>
      <c r="F54" s="99"/>
      <c r="G54" s="99"/>
      <c r="H54" s="99"/>
      <c r="I54" s="99"/>
      <c r="J54" s="99"/>
    </row>
    <row r="55" spans="1:10" s="21" customFormat="1" ht="11.25">
      <c r="A55" s="99"/>
      <c r="B55" s="99"/>
      <c r="C55" s="99"/>
      <c r="D55" s="99"/>
      <c r="E55" s="99"/>
      <c r="F55" s="99"/>
      <c r="G55" s="99"/>
      <c r="H55" s="99"/>
      <c r="I55" s="99"/>
      <c r="J55" s="99"/>
    </row>
    <row r="56" spans="1:10" s="21" customFormat="1" ht="11.25">
      <c r="A56" s="99"/>
      <c r="B56" s="99"/>
      <c r="C56" s="99"/>
      <c r="D56" s="99"/>
      <c r="E56" s="99"/>
      <c r="F56" s="99"/>
      <c r="G56" s="99"/>
      <c r="H56" s="99"/>
      <c r="I56" s="99"/>
      <c r="J56" s="99"/>
    </row>
    <row r="57" spans="1:10" s="21" customFormat="1" ht="11.25">
      <c r="A57" s="99"/>
      <c r="B57" s="99"/>
      <c r="C57" s="99"/>
      <c r="D57" s="99"/>
      <c r="E57" s="99"/>
      <c r="F57" s="99"/>
      <c r="G57" s="99"/>
      <c r="H57" s="99"/>
      <c r="I57" s="99"/>
      <c r="J57" s="99"/>
    </row>
    <row r="58" spans="1:10" s="21" customFormat="1" ht="11.25">
      <c r="A58" s="99"/>
      <c r="B58" s="99"/>
      <c r="C58" s="99"/>
      <c r="D58" s="99"/>
      <c r="E58" s="99"/>
      <c r="F58" s="99"/>
      <c r="G58" s="99"/>
      <c r="H58" s="99"/>
      <c r="I58" s="99"/>
      <c r="J58" s="99"/>
    </row>
    <row r="59" spans="1:10" s="21" customFormat="1" ht="11.2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s="21" customFormat="1" ht="11.25">
      <c r="A60" s="99"/>
      <c r="B60" s="99"/>
      <c r="C60" s="99"/>
      <c r="D60" s="99"/>
      <c r="E60" s="99"/>
      <c r="F60" s="99"/>
      <c r="G60" s="99"/>
      <c r="H60" s="99"/>
      <c r="I60" s="99"/>
      <c r="J60" s="99"/>
    </row>
    <row r="61" spans="1:10" s="21" customFormat="1" ht="11.25">
      <c r="A61" s="99"/>
      <c r="B61" s="99"/>
      <c r="C61" s="99"/>
      <c r="D61" s="99"/>
      <c r="E61" s="99"/>
      <c r="F61" s="99"/>
      <c r="G61" s="99"/>
      <c r="H61" s="99"/>
      <c r="I61" s="99"/>
      <c r="J61" s="195"/>
    </row>
    <row r="62" spans="1:10" s="21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195"/>
    </row>
    <row r="63" spans="1:10" s="21" customFormat="1" ht="11.25">
      <c r="A63" s="99"/>
      <c r="B63" s="99"/>
      <c r="C63" s="99"/>
      <c r="D63" s="99"/>
      <c r="E63" s="99"/>
      <c r="F63" s="99"/>
      <c r="G63" s="99"/>
      <c r="H63" s="99"/>
      <c r="I63" s="99"/>
      <c r="J63" s="195"/>
    </row>
    <row r="64" spans="1:10" s="21" customFormat="1" ht="11.25">
      <c r="A64" s="99"/>
      <c r="B64" s="99"/>
      <c r="C64" s="99"/>
      <c r="D64" s="99"/>
      <c r="E64" s="99"/>
      <c r="F64" s="99"/>
      <c r="G64" s="99"/>
      <c r="H64" s="99"/>
      <c r="I64" s="99"/>
      <c r="J64" s="99"/>
    </row>
    <row r="65" spans="1:10" s="21" customFormat="1" ht="11.25">
      <c r="A65" s="99"/>
      <c r="B65" s="99"/>
      <c r="C65" s="99"/>
      <c r="D65" s="99"/>
      <c r="E65" s="99"/>
      <c r="F65" s="99"/>
      <c r="G65" s="99"/>
      <c r="H65" s="99"/>
      <c r="I65" s="99"/>
      <c r="J65" s="99"/>
    </row>
    <row r="66" spans="1:10" s="21" customFormat="1" ht="11.25">
      <c r="A66" s="99"/>
      <c r="B66" s="99"/>
      <c r="C66" s="99"/>
      <c r="D66" s="99"/>
      <c r="E66" s="99"/>
      <c r="F66" s="99"/>
      <c r="G66" s="99"/>
      <c r="H66" s="99"/>
      <c r="I66" s="99"/>
      <c r="J66" s="195"/>
    </row>
    <row r="67" spans="1:10" s="21" customFormat="1" ht="11.25">
      <c r="A67" s="99"/>
      <c r="B67" s="99"/>
      <c r="C67" s="99"/>
      <c r="D67" s="99"/>
      <c r="E67" s="99"/>
      <c r="F67" s="99"/>
      <c r="G67" s="99"/>
      <c r="H67" s="99"/>
      <c r="I67" s="99"/>
      <c r="J67" s="195"/>
    </row>
    <row r="68" spans="1:10" s="21" customFormat="1" ht="11.25">
      <c r="A68" s="99"/>
      <c r="B68" s="99"/>
      <c r="C68" s="99"/>
      <c r="D68" s="99"/>
      <c r="E68" s="99"/>
      <c r="F68" s="99"/>
      <c r="G68" s="99"/>
      <c r="H68" s="99"/>
      <c r="I68" s="99"/>
      <c r="J68" s="195"/>
    </row>
    <row r="69" spans="1:10" s="21" customFormat="1" ht="11.25">
      <c r="A69" s="99"/>
      <c r="B69" s="99"/>
      <c r="C69" s="99"/>
      <c r="D69" s="99"/>
      <c r="E69" s="99"/>
      <c r="F69" s="99"/>
      <c r="G69" s="99"/>
      <c r="H69" s="99"/>
      <c r="I69" s="99"/>
      <c r="J69" s="99"/>
    </row>
    <row r="70" spans="1:10" s="21" customFormat="1" ht="11.25">
      <c r="A70" s="99"/>
      <c r="B70" s="99"/>
      <c r="C70" s="99"/>
      <c r="D70" s="99"/>
      <c r="E70" s="99"/>
      <c r="F70" s="99"/>
      <c r="G70" s="99"/>
      <c r="H70" s="99"/>
      <c r="I70" s="99"/>
      <c r="J70" s="99"/>
    </row>
    <row r="71" spans="1:10" s="21" customFormat="1" ht="11.25">
      <c r="A71" s="99"/>
      <c r="B71" s="99"/>
      <c r="C71" s="99"/>
      <c r="D71" s="99"/>
      <c r="E71" s="99"/>
      <c r="F71" s="99"/>
      <c r="G71" s="99"/>
      <c r="H71" s="99"/>
      <c r="I71" s="99"/>
      <c r="J71" s="195"/>
    </row>
    <row r="72" spans="1:10" s="21" customFormat="1" ht="11.25">
      <c r="A72" s="99"/>
      <c r="B72" s="99"/>
      <c r="C72" s="99"/>
      <c r="D72" s="99"/>
      <c r="E72" s="99"/>
      <c r="F72" s="99"/>
      <c r="G72" s="99"/>
      <c r="H72" s="99"/>
      <c r="I72" s="99"/>
      <c r="J72" s="195"/>
    </row>
    <row r="73" spans="1:10" s="21" customFormat="1" ht="11.25">
      <c r="A73" s="99"/>
      <c r="B73" s="99"/>
      <c r="C73" s="99"/>
      <c r="D73" s="99"/>
      <c r="E73" s="99"/>
      <c r="F73" s="99"/>
      <c r="G73" s="99"/>
      <c r="H73" s="99"/>
      <c r="I73" s="99"/>
      <c r="J73" s="195"/>
    </row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pans="2:9" s="21" customFormat="1" ht="11.25">
      <c r="B80" s="10"/>
      <c r="C80" s="10"/>
      <c r="F80" s="196"/>
      <c r="G80" s="196"/>
      <c r="H80" s="196"/>
      <c r="I80" s="196"/>
    </row>
    <row r="81" s="21" customFormat="1" ht="11.25">
      <c r="B81" s="10"/>
    </row>
    <row r="82" s="21" customFormat="1" ht="4.5" customHeight="1">
      <c r="B82" s="10"/>
    </row>
    <row r="83" spans="1:10" ht="11.25">
      <c r="A83" s="21"/>
      <c r="J83" s="21"/>
    </row>
    <row r="84" spans="1:10" ht="4.5" customHeight="1">
      <c r="A84" s="21"/>
      <c r="J84" s="21"/>
    </row>
    <row r="85" spans="1:10" ht="11.25">
      <c r="A85" s="21"/>
      <c r="J85" s="21"/>
    </row>
    <row r="86" spans="1:10" ht="4.5" customHeight="1">
      <c r="A86" s="21"/>
      <c r="J86" s="21"/>
    </row>
    <row r="87" spans="1:10" ht="11.25">
      <c r="A87" s="21"/>
      <c r="J87" s="21"/>
    </row>
    <row r="88" spans="1:10" ht="4.5" customHeight="1">
      <c r="A88" s="21"/>
      <c r="J88" s="21"/>
    </row>
    <row r="89" spans="1:10" ht="11.25">
      <c r="A89" s="21"/>
      <c r="J89" s="21"/>
    </row>
    <row r="90" spans="1:10" ht="11.25">
      <c r="A90" s="21"/>
      <c r="J90" s="21"/>
    </row>
    <row r="91" spans="1:10" ht="11.25">
      <c r="A91" s="21"/>
      <c r="J91" s="21"/>
    </row>
    <row r="92" spans="1:10" ht="4.5" customHeight="1">
      <c r="A92" s="21"/>
      <c r="J92" s="21"/>
    </row>
    <row r="96" ht="4.5" customHeight="1"/>
    <row r="101" ht="11.25">
      <c r="E101" s="197"/>
    </row>
    <row r="102" ht="11.25">
      <c r="E102" s="197"/>
    </row>
    <row r="103" ht="11.25">
      <c r="E103" s="197"/>
    </row>
    <row r="109" ht="4.5" customHeight="1"/>
    <row r="113" ht="4.5" customHeight="1"/>
    <row r="114" ht="11.25">
      <c r="B114" s="70"/>
    </row>
  </sheetData>
  <mergeCells count="6">
    <mergeCell ref="B3:J3"/>
    <mergeCell ref="A6:A8"/>
    <mergeCell ref="B6:I6"/>
    <mergeCell ref="J6:J8"/>
    <mergeCell ref="B7:E7"/>
    <mergeCell ref="F7:I7"/>
  </mergeCells>
  <hyperlinks>
    <hyperlink ref="K9" r:id="rId1" display="=@npv(L8,K9)"/>
    <hyperlink ref="K10" r:id="rId2" display="=@npv(L8,K9)"/>
    <hyperlink ref="L9" r:id="rId3" display="=@npv(L8,K9)"/>
    <hyperlink ref="L10" r:id="rId4" display="=@npv(L8,K9)"/>
    <hyperlink ref="L11:L13" r:id="rId5" display="=@npv(L8,K9)"/>
    <hyperlink ref="L14:L38" r:id="rId6" display="=@npv(L8,K9)"/>
  </hyperlinks>
  <printOptions/>
  <pageMargins left="0.75" right="0.75" top="1" bottom="1" header="0.5" footer="0.5"/>
  <pageSetup fitToHeight="0" fitToWidth="1" horizontalDpi="1200" verticalDpi="1200" orientation="portrait" scale="56" r:id="rId7"/>
  <headerFooter alignWithMargins="0">
    <oddFooter>&amp;L&amp;"Braggadocio,Regular"CSP&amp;X2&amp;RPage &amp;P of &amp;N</oddFooter>
  </headerFooter>
  <ignoredErrors>
    <ignoredError sqref="H11 H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8" style="10" customWidth="1"/>
    <col min="2" max="2" width="13.66015625" style="21" customWidth="1"/>
    <col min="3" max="3" width="13.66015625" style="21" bestFit="1" customWidth="1"/>
    <col min="4" max="4" width="15.33203125" style="21" customWidth="1"/>
    <col min="5" max="5" width="13.66015625" style="21" bestFit="1" customWidth="1"/>
    <col min="6" max="9" width="13.66015625" style="21" customWidth="1"/>
    <col min="10" max="10" width="16.66015625" style="10" customWidth="1"/>
    <col min="11" max="12" width="14.83203125" style="10" bestFit="1" customWidth="1"/>
    <col min="13" max="155" width="12.83203125" style="10" bestFit="1" customWidth="1"/>
    <col min="156" max="156" width="14" style="10" bestFit="1" customWidth="1"/>
    <col min="157" max="16384" width="9.33203125" style="10" customWidth="1"/>
  </cols>
  <sheetData>
    <row r="1" spans="1:10" s="21" customFormat="1" ht="12">
      <c r="A1" s="87"/>
      <c r="B1" s="181" t="s">
        <v>243</v>
      </c>
      <c r="C1" s="182"/>
      <c r="D1" s="182"/>
      <c r="E1" s="182"/>
      <c r="F1" s="182"/>
      <c r="G1" s="182"/>
      <c r="H1" s="182"/>
      <c r="I1" s="182"/>
      <c r="J1" s="182"/>
    </row>
    <row r="2" spans="2:10" s="21" customFormat="1" ht="12">
      <c r="B2" s="181" t="s">
        <v>192</v>
      </c>
      <c r="C2" s="182"/>
      <c r="D2" s="182"/>
      <c r="E2" s="182"/>
      <c r="F2" s="182"/>
      <c r="G2" s="182"/>
      <c r="H2" s="182"/>
      <c r="I2" s="182"/>
      <c r="J2" s="182"/>
    </row>
    <row r="3" spans="2:10" s="21" customFormat="1" ht="12">
      <c r="B3" s="351" t="s">
        <v>265</v>
      </c>
      <c r="C3" s="352"/>
      <c r="D3" s="352"/>
      <c r="E3" s="352"/>
      <c r="F3" s="352"/>
      <c r="G3" s="352"/>
      <c r="H3" s="352"/>
      <c r="I3" s="352"/>
      <c r="J3" s="352"/>
    </row>
    <row r="4" spans="2:10" s="21" customFormat="1" ht="12">
      <c r="B4" s="181"/>
      <c r="C4" s="182"/>
      <c r="D4" s="182"/>
      <c r="E4" s="182"/>
      <c r="F4" s="182"/>
      <c r="G4" s="182"/>
      <c r="H4" s="182"/>
      <c r="I4" s="182"/>
      <c r="J4" s="182"/>
    </row>
    <row r="5" s="21" customFormat="1" ht="11.25"/>
    <row r="6" spans="1:12" ht="11.25">
      <c r="A6" s="353" t="s">
        <v>193</v>
      </c>
      <c r="B6" s="355" t="s">
        <v>194</v>
      </c>
      <c r="C6" s="355"/>
      <c r="D6" s="355"/>
      <c r="E6" s="355"/>
      <c r="F6" s="356"/>
      <c r="G6" s="356"/>
      <c r="H6" s="356"/>
      <c r="I6" s="356"/>
      <c r="J6" s="357" t="s">
        <v>195</v>
      </c>
      <c r="K6" s="183" t="s">
        <v>196</v>
      </c>
      <c r="L6" s="184" t="s">
        <v>197</v>
      </c>
    </row>
    <row r="7" spans="1:12" ht="11.25">
      <c r="A7" s="329"/>
      <c r="B7" s="356" t="s">
        <v>198</v>
      </c>
      <c r="C7" s="356"/>
      <c r="D7" s="356"/>
      <c r="E7" s="356"/>
      <c r="F7" s="360" t="s">
        <v>191</v>
      </c>
      <c r="G7" s="361"/>
      <c r="H7" s="361"/>
      <c r="I7" s="362"/>
      <c r="J7" s="358"/>
      <c r="K7" s="185" t="s">
        <v>199</v>
      </c>
      <c r="L7" s="186" t="s">
        <v>200</v>
      </c>
    </row>
    <row r="8" spans="1:12" ht="33.75">
      <c r="A8" s="354"/>
      <c r="B8" s="187" t="s">
        <v>204</v>
      </c>
      <c r="C8" s="187" t="s">
        <v>205</v>
      </c>
      <c r="D8" s="187" t="s">
        <v>54</v>
      </c>
      <c r="E8" s="187" t="s">
        <v>201</v>
      </c>
      <c r="F8" s="187" t="s">
        <v>206</v>
      </c>
      <c r="G8" s="187" t="s">
        <v>207</v>
      </c>
      <c r="H8" s="187" t="s">
        <v>212</v>
      </c>
      <c r="I8" s="187" t="s">
        <v>211</v>
      </c>
      <c r="J8" s="359"/>
      <c r="K8" s="188">
        <v>0.03</v>
      </c>
      <c r="L8" s="189">
        <v>0.05</v>
      </c>
    </row>
    <row r="9" spans="1:12" ht="11.25">
      <c r="A9" s="265">
        <v>0</v>
      </c>
      <c r="B9" s="266">
        <f>'Capital Cost Estimate'!$S$162/3</f>
        <v>212935.67</v>
      </c>
      <c r="C9" s="266"/>
      <c r="D9" s="266"/>
      <c r="E9" s="266">
        <f>'Capital Cost Estimate'!$S$175</f>
        <v>182341.56</v>
      </c>
      <c r="F9" s="266"/>
      <c r="G9" s="266">
        <f>'Operating Cost Estimate'!$J$63/6</f>
        <v>51210.14000000001</v>
      </c>
      <c r="H9" s="266">
        <f>('Operating Cost Estimate'!$J$65*(4/20))</f>
        <v>56535.608</v>
      </c>
      <c r="I9" s="267"/>
      <c r="J9" s="268">
        <f aca="true" t="shared" si="0" ref="J9:J38">SUM(B9:I9)</f>
        <v>503022.978</v>
      </c>
      <c r="K9" s="269">
        <f>($J9*((1+K$8)^A9))</f>
        <v>503022.978</v>
      </c>
      <c r="L9" s="270">
        <f aca="true" t="shared" si="1" ref="L9:L38">J9*((1+K$8-L$8)^A9)</f>
        <v>503022.978</v>
      </c>
    </row>
    <row r="10" spans="1:12" ht="11.25">
      <c r="A10" s="265">
        <f>1+A9</f>
        <v>1</v>
      </c>
      <c r="B10" s="266">
        <f>'Capital Cost Estimate'!$S$162/3</f>
        <v>212935.67</v>
      </c>
      <c r="C10" s="266"/>
      <c r="D10" s="266"/>
      <c r="E10" s="266"/>
      <c r="F10" s="266">
        <f>'Operating Cost Estimate'!$J$62/5</f>
        <v>729366.844</v>
      </c>
      <c r="G10" s="266">
        <f>'Operating Cost Estimate'!$J$63/6</f>
        <v>51210.14000000001</v>
      </c>
      <c r="H10" s="266">
        <f>('Operating Cost Estimate'!$J$65*(4/20))</f>
        <v>56535.608</v>
      </c>
      <c r="I10" s="267"/>
      <c r="J10" s="271">
        <f t="shared" si="0"/>
        <v>1050048.262</v>
      </c>
      <c r="K10" s="270">
        <f aca="true" t="shared" si="2" ref="K10:K18">(J10*((1+K$8)^A10)-1)</f>
        <v>1081548.70986</v>
      </c>
      <c r="L10" s="270">
        <f t="shared" si="1"/>
        <v>1029047.29676</v>
      </c>
    </row>
    <row r="11" spans="1:12" ht="11.25">
      <c r="A11" s="265">
        <f aca="true" t="shared" si="3" ref="A11:A38">1+A10</f>
        <v>2</v>
      </c>
      <c r="B11" s="266">
        <f>'Capital Cost Estimate'!$S$162/3</f>
        <v>212935.67</v>
      </c>
      <c r="C11" s="266"/>
      <c r="D11" s="266"/>
      <c r="E11" s="266"/>
      <c r="F11" s="266">
        <f>'Operating Cost Estimate'!$J$62/5</f>
        <v>729366.844</v>
      </c>
      <c r="G11" s="266">
        <f>'Operating Cost Estimate'!$J$63/6</f>
        <v>51210.14000000001</v>
      </c>
      <c r="H11" s="266">
        <f>('Operating Cost Estimate'!$J$65*(1/20))</f>
        <v>14133.902</v>
      </c>
      <c r="I11" s="267"/>
      <c r="J11" s="271">
        <f t="shared" si="0"/>
        <v>1007646.5560000001</v>
      </c>
      <c r="K11" s="270">
        <f t="shared" si="2"/>
        <v>1069011.2312604</v>
      </c>
      <c r="L11" s="270">
        <f t="shared" si="1"/>
        <v>967743.7523824</v>
      </c>
    </row>
    <row r="12" spans="1:12" ht="11.25">
      <c r="A12" s="265">
        <f t="shared" si="3"/>
        <v>3</v>
      </c>
      <c r="B12" s="266"/>
      <c r="C12" s="266">
        <f>'Capital Cost Estimate'!$S$170/2</f>
        <v>2521624.5</v>
      </c>
      <c r="D12" s="266"/>
      <c r="E12" s="272"/>
      <c r="F12" s="266">
        <f>'Operating Cost Estimate'!$J$62/5</f>
        <v>729366.844</v>
      </c>
      <c r="G12" s="266">
        <f>'Operating Cost Estimate'!$J$63/6</f>
        <v>51210.14000000001</v>
      </c>
      <c r="H12" s="266">
        <f>('Operating Cost Estimate'!$J$65*(1/20))</f>
        <v>14133.902</v>
      </c>
      <c r="I12" s="267"/>
      <c r="J12" s="271">
        <f t="shared" si="0"/>
        <v>3316335.386</v>
      </c>
      <c r="K12" s="270">
        <f t="shared" si="2"/>
        <v>3623848.217337622</v>
      </c>
      <c r="L12" s="270">
        <f t="shared" si="1"/>
        <v>3121308.3346201116</v>
      </c>
    </row>
    <row r="13" spans="1:12" ht="11.25">
      <c r="A13" s="265">
        <f t="shared" si="3"/>
        <v>4</v>
      </c>
      <c r="B13" s="266"/>
      <c r="C13" s="266">
        <f>'Capital Cost Estimate'!$S$170/2</f>
        <v>2521624.5</v>
      </c>
      <c r="D13" s="266"/>
      <c r="E13" s="266"/>
      <c r="F13" s="266">
        <f>'Operating Cost Estimate'!$J$62/5</f>
        <v>729366.844</v>
      </c>
      <c r="G13" s="266">
        <f>'Operating Cost Estimate'!$J$63/6</f>
        <v>51210.14000000001</v>
      </c>
      <c r="H13" s="266">
        <f>('Operating Cost Estimate'!$J$65*(1/20))+('Operating Cost Estimate'!$J$66/6)+('Operating Cost Estimate'!$J$67/6)</f>
        <v>53478.462</v>
      </c>
      <c r="I13" s="267"/>
      <c r="J13" s="271">
        <f t="shared" si="0"/>
        <v>3355679.946</v>
      </c>
      <c r="K13" s="270">
        <f t="shared" si="2"/>
        <v>3776846.342763324</v>
      </c>
      <c r="L13" s="270">
        <f t="shared" si="1"/>
        <v>3095172.337340919</v>
      </c>
    </row>
    <row r="14" spans="1:12" ht="11.25">
      <c r="A14" s="265">
        <f t="shared" si="3"/>
        <v>5</v>
      </c>
      <c r="B14" s="266"/>
      <c r="C14" s="273"/>
      <c r="D14" s="266"/>
      <c r="E14" s="266"/>
      <c r="F14" s="266">
        <f>'Operating Cost Estimate'!$J$62/5</f>
        <v>729366.844</v>
      </c>
      <c r="G14" s="266">
        <f>'Operating Cost Estimate'!$J$63/6</f>
        <v>51210.14000000001</v>
      </c>
      <c r="H14" s="266">
        <f>('Operating Cost Estimate'!$J$65*(1/20))</f>
        <v>14133.902</v>
      </c>
      <c r="I14" s="267"/>
      <c r="J14" s="271">
        <f t="shared" si="0"/>
        <v>794710.886</v>
      </c>
      <c r="K14" s="270">
        <f t="shared" si="2"/>
        <v>921286.7267037828</v>
      </c>
      <c r="L14" s="270">
        <f t="shared" si="1"/>
        <v>718355.6972987539</v>
      </c>
    </row>
    <row r="15" spans="1:12" ht="11.25">
      <c r="A15" s="265">
        <f t="shared" si="3"/>
        <v>6</v>
      </c>
      <c r="B15" s="266"/>
      <c r="C15" s="266"/>
      <c r="D15" s="266"/>
      <c r="E15" s="266"/>
      <c r="F15" s="266"/>
      <c r="G15" s="266"/>
      <c r="H15" s="266">
        <f>('Operating Cost Estimate'!$J$65*(1/20))</f>
        <v>14133.902</v>
      </c>
      <c r="I15" s="267"/>
      <c r="J15" s="271">
        <f t="shared" si="0"/>
        <v>14133.902</v>
      </c>
      <c r="K15" s="270">
        <f t="shared" si="2"/>
        <v>16875.618142015825</v>
      </c>
      <c r="L15" s="270">
        <f t="shared" si="1"/>
        <v>12520.40939857845</v>
      </c>
    </row>
    <row r="16" spans="1:12" ht="11.25">
      <c r="A16" s="265">
        <f t="shared" si="3"/>
        <v>7</v>
      </c>
      <c r="B16" s="266"/>
      <c r="C16" s="266"/>
      <c r="D16" s="266"/>
      <c r="E16" s="266"/>
      <c r="F16" s="266"/>
      <c r="G16" s="266"/>
      <c r="H16" s="266">
        <f>('Operating Cost Estimate'!$J$65*(1/20))</f>
        <v>14133.902</v>
      </c>
      <c r="I16" s="267"/>
      <c r="J16" s="271">
        <f t="shared" si="0"/>
        <v>14133.902</v>
      </c>
      <c r="K16" s="270">
        <f t="shared" si="2"/>
        <v>17381.9166862763</v>
      </c>
      <c r="L16" s="270">
        <f t="shared" si="1"/>
        <v>12270.001210606879</v>
      </c>
    </row>
    <row r="17" spans="1:12" ht="11.25">
      <c r="A17" s="265">
        <f t="shared" si="3"/>
        <v>8</v>
      </c>
      <c r="B17" s="266"/>
      <c r="C17" s="266"/>
      <c r="D17" s="266"/>
      <c r="E17" s="266"/>
      <c r="F17" s="266"/>
      <c r="G17" s="266"/>
      <c r="H17" s="266">
        <f>('Operating Cost Estimate'!$J$65*(1/20))</f>
        <v>14133.902</v>
      </c>
      <c r="I17" s="267"/>
      <c r="J17" s="271">
        <f t="shared" si="0"/>
        <v>14133.902</v>
      </c>
      <c r="K17" s="270">
        <f t="shared" si="2"/>
        <v>17903.404186864587</v>
      </c>
      <c r="L17" s="270">
        <f t="shared" si="1"/>
        <v>12024.601186394742</v>
      </c>
    </row>
    <row r="18" spans="1:12" ht="11.25">
      <c r="A18" s="265">
        <f t="shared" si="3"/>
        <v>9</v>
      </c>
      <c r="B18" s="266"/>
      <c r="C18" s="266"/>
      <c r="D18" s="266"/>
      <c r="E18" s="266"/>
      <c r="F18" s="266"/>
      <c r="G18" s="266"/>
      <c r="H18" s="266">
        <f>('Operating Cost Estimate'!$J$65*(1/20))+('Operating Cost Estimate'!$J$66/6)+('Operating Cost Estimate'!$J$67/6)</f>
        <v>53478.462</v>
      </c>
      <c r="I18" s="267"/>
      <c r="J18" s="271">
        <f t="shared" si="0"/>
        <v>53478.462</v>
      </c>
      <c r="K18" s="270">
        <f t="shared" si="2"/>
        <v>69776.26313003126</v>
      </c>
      <c r="L18" s="270">
        <f t="shared" si="1"/>
        <v>44587.54801466225</v>
      </c>
    </row>
    <row r="19" spans="1:12" ht="11.25">
      <c r="A19" s="265">
        <f t="shared" si="3"/>
        <v>10</v>
      </c>
      <c r="B19" s="266"/>
      <c r="C19" s="266"/>
      <c r="D19" s="266"/>
      <c r="E19" s="266"/>
      <c r="F19" s="266"/>
      <c r="G19" s="266"/>
      <c r="H19" s="266"/>
      <c r="I19" s="267"/>
      <c r="J19" s="271">
        <f t="shared" si="0"/>
        <v>0</v>
      </c>
      <c r="K19" s="270"/>
      <c r="L19" s="270">
        <f t="shared" si="1"/>
        <v>0</v>
      </c>
    </row>
    <row r="20" spans="1:12" ht="11.25">
      <c r="A20" s="265">
        <f t="shared" si="3"/>
        <v>11</v>
      </c>
      <c r="B20" s="266"/>
      <c r="C20" s="266"/>
      <c r="D20" s="266"/>
      <c r="E20" s="266"/>
      <c r="F20" s="266"/>
      <c r="G20" s="266"/>
      <c r="H20" s="266"/>
      <c r="I20" s="267"/>
      <c r="J20" s="271">
        <f t="shared" si="0"/>
        <v>0</v>
      </c>
      <c r="K20" s="270"/>
      <c r="L20" s="270">
        <f t="shared" si="1"/>
        <v>0</v>
      </c>
    </row>
    <row r="21" spans="1:12" ht="11.25">
      <c r="A21" s="265">
        <f t="shared" si="3"/>
        <v>12</v>
      </c>
      <c r="B21" s="266"/>
      <c r="C21" s="266"/>
      <c r="D21" s="266"/>
      <c r="E21" s="266"/>
      <c r="F21" s="266"/>
      <c r="G21" s="266"/>
      <c r="H21" s="266"/>
      <c r="I21" s="267"/>
      <c r="J21" s="271">
        <f t="shared" si="0"/>
        <v>0</v>
      </c>
      <c r="K21" s="270"/>
      <c r="L21" s="270">
        <f t="shared" si="1"/>
        <v>0</v>
      </c>
    </row>
    <row r="22" spans="1:12" ht="11.25">
      <c r="A22" s="265">
        <f t="shared" si="3"/>
        <v>13</v>
      </c>
      <c r="B22" s="266"/>
      <c r="C22" s="266"/>
      <c r="D22" s="266"/>
      <c r="E22" s="266"/>
      <c r="F22" s="266"/>
      <c r="G22" s="266"/>
      <c r="H22" s="266"/>
      <c r="I22" s="267"/>
      <c r="J22" s="271">
        <f t="shared" si="0"/>
        <v>0</v>
      </c>
      <c r="K22" s="270"/>
      <c r="L22" s="270">
        <f t="shared" si="1"/>
        <v>0</v>
      </c>
    </row>
    <row r="23" spans="1:12" ht="11.25">
      <c r="A23" s="265">
        <f t="shared" si="3"/>
        <v>14</v>
      </c>
      <c r="B23" s="266"/>
      <c r="C23" s="266"/>
      <c r="D23" s="266"/>
      <c r="E23" s="266"/>
      <c r="F23" s="266"/>
      <c r="G23" s="266"/>
      <c r="H23" s="266">
        <f>('Operating Cost Estimate'!$J$65*(1/20))+('Operating Cost Estimate'!$J$66/6)+('Operating Cost Estimate'!$J$67/6)</f>
        <v>53478.462</v>
      </c>
      <c r="I23" s="267"/>
      <c r="J23" s="271">
        <f t="shared" si="0"/>
        <v>53478.462</v>
      </c>
      <c r="K23" s="270">
        <f>(J23*((1+K$8)^A23)-1)</f>
        <v>80889.9721222545</v>
      </c>
      <c r="L23" s="270">
        <f t="shared" si="1"/>
        <v>40303.61192877175</v>
      </c>
    </row>
    <row r="24" spans="1:12" ht="11.25">
      <c r="A24" s="265">
        <f t="shared" si="3"/>
        <v>15</v>
      </c>
      <c r="B24" s="266"/>
      <c r="C24" s="266"/>
      <c r="D24" s="266"/>
      <c r="E24" s="266"/>
      <c r="F24" s="266"/>
      <c r="G24" s="266"/>
      <c r="H24" s="266"/>
      <c r="I24" s="267"/>
      <c r="J24" s="271">
        <f t="shared" si="0"/>
        <v>0</v>
      </c>
      <c r="K24" s="270"/>
      <c r="L24" s="270">
        <f t="shared" si="1"/>
        <v>0</v>
      </c>
    </row>
    <row r="25" spans="1:12" ht="11.25">
      <c r="A25" s="265">
        <f t="shared" si="3"/>
        <v>16</v>
      </c>
      <c r="B25" s="266"/>
      <c r="C25" s="266"/>
      <c r="D25" s="266"/>
      <c r="E25" s="266"/>
      <c r="F25" s="266"/>
      <c r="G25" s="266"/>
      <c r="H25" s="266"/>
      <c r="I25" s="267"/>
      <c r="J25" s="271">
        <f t="shared" si="0"/>
        <v>0</v>
      </c>
      <c r="K25" s="270"/>
      <c r="L25" s="270">
        <f t="shared" si="1"/>
        <v>0</v>
      </c>
    </row>
    <row r="26" spans="1:12" ht="11.25">
      <c r="A26" s="265">
        <f t="shared" si="3"/>
        <v>17</v>
      </c>
      <c r="B26" s="266"/>
      <c r="C26" s="266"/>
      <c r="D26" s="266"/>
      <c r="E26" s="266"/>
      <c r="F26" s="266"/>
      <c r="G26" s="266"/>
      <c r="H26" s="266"/>
      <c r="I26" s="267"/>
      <c r="J26" s="271">
        <f t="shared" si="0"/>
        <v>0</v>
      </c>
      <c r="K26" s="270"/>
      <c r="L26" s="270">
        <f t="shared" si="1"/>
        <v>0</v>
      </c>
    </row>
    <row r="27" spans="1:12" ht="11.25">
      <c r="A27" s="265">
        <f t="shared" si="3"/>
        <v>18</v>
      </c>
      <c r="B27" s="266"/>
      <c r="C27" s="266"/>
      <c r="D27" s="266"/>
      <c r="E27" s="266"/>
      <c r="F27" s="266"/>
      <c r="G27" s="266"/>
      <c r="H27" s="266"/>
      <c r="I27" s="267"/>
      <c r="J27" s="271">
        <f t="shared" si="0"/>
        <v>0</v>
      </c>
      <c r="K27" s="270"/>
      <c r="L27" s="270">
        <f t="shared" si="1"/>
        <v>0</v>
      </c>
    </row>
    <row r="28" spans="1:12" ht="11.25">
      <c r="A28" s="265">
        <f t="shared" si="3"/>
        <v>19</v>
      </c>
      <c r="B28" s="266"/>
      <c r="C28" s="266"/>
      <c r="D28" s="266"/>
      <c r="E28" s="266"/>
      <c r="F28" s="266"/>
      <c r="G28" s="266"/>
      <c r="H28" s="266">
        <f>('Operating Cost Estimate'!$J$65*(1/20))+('Operating Cost Estimate'!$J$66/6)+('Operating Cost Estimate'!$J$67/6)</f>
        <v>53478.462</v>
      </c>
      <c r="I28" s="267"/>
      <c r="J28" s="271">
        <f t="shared" si="0"/>
        <v>53478.462</v>
      </c>
      <c r="K28" s="270">
        <f>(J28*((1+K$8)^A28)-1)</f>
        <v>93773.80682625368</v>
      </c>
      <c r="L28" s="270">
        <f t="shared" si="1"/>
        <v>36431.27300857334</v>
      </c>
    </row>
    <row r="29" spans="1:12" ht="11.25">
      <c r="A29" s="265">
        <f t="shared" si="3"/>
        <v>20</v>
      </c>
      <c r="B29" s="266"/>
      <c r="C29" s="266"/>
      <c r="D29" s="266"/>
      <c r="E29" s="266"/>
      <c r="F29" s="266"/>
      <c r="G29" s="266"/>
      <c r="H29" s="266"/>
      <c r="I29" s="267"/>
      <c r="J29" s="271">
        <f t="shared" si="0"/>
        <v>0</v>
      </c>
      <c r="K29" s="270"/>
      <c r="L29" s="270">
        <f t="shared" si="1"/>
        <v>0</v>
      </c>
    </row>
    <row r="30" spans="1:12" ht="11.25">
      <c r="A30" s="265">
        <f t="shared" si="3"/>
        <v>21</v>
      </c>
      <c r="B30" s="266"/>
      <c r="C30" s="266"/>
      <c r="D30" s="266"/>
      <c r="E30" s="266"/>
      <c r="F30" s="266"/>
      <c r="G30" s="266"/>
      <c r="H30" s="266"/>
      <c r="I30" s="267"/>
      <c r="J30" s="271">
        <f t="shared" si="0"/>
        <v>0</v>
      </c>
      <c r="K30" s="270"/>
      <c r="L30" s="270">
        <f t="shared" si="1"/>
        <v>0</v>
      </c>
    </row>
    <row r="31" spans="1:12" ht="11.25">
      <c r="A31" s="265">
        <f t="shared" si="3"/>
        <v>22</v>
      </c>
      <c r="B31" s="266"/>
      <c r="C31" s="266"/>
      <c r="D31" s="266"/>
      <c r="E31" s="266"/>
      <c r="F31" s="266"/>
      <c r="G31" s="266"/>
      <c r="H31" s="266"/>
      <c r="I31" s="267"/>
      <c r="J31" s="271">
        <f t="shared" si="0"/>
        <v>0</v>
      </c>
      <c r="K31" s="270"/>
      <c r="L31" s="270">
        <f t="shared" si="1"/>
        <v>0</v>
      </c>
    </row>
    <row r="32" spans="1:12" ht="11.25">
      <c r="A32" s="265">
        <f t="shared" si="3"/>
        <v>23</v>
      </c>
      <c r="B32" s="266"/>
      <c r="C32" s="266"/>
      <c r="D32" s="266"/>
      <c r="E32" s="266"/>
      <c r="F32" s="266"/>
      <c r="G32" s="266"/>
      <c r="H32" s="266"/>
      <c r="I32" s="267"/>
      <c r="J32" s="271">
        <f t="shared" si="0"/>
        <v>0</v>
      </c>
      <c r="K32" s="270"/>
      <c r="L32" s="270">
        <f t="shared" si="1"/>
        <v>0</v>
      </c>
    </row>
    <row r="33" spans="1:12" ht="11.25">
      <c r="A33" s="265">
        <f t="shared" si="3"/>
        <v>24</v>
      </c>
      <c r="B33" s="266"/>
      <c r="C33" s="266"/>
      <c r="D33" s="266"/>
      <c r="E33" s="266"/>
      <c r="F33" s="266"/>
      <c r="G33" s="266"/>
      <c r="H33" s="266">
        <f>('Operating Cost Estimate'!$J$65*(1/20))+('Operating Cost Estimate'!$J$66/6)+('Operating Cost Estimate'!$J$67/6)</f>
        <v>53478.462</v>
      </c>
      <c r="I33" s="267"/>
      <c r="J33" s="271">
        <f t="shared" si="0"/>
        <v>53478.462</v>
      </c>
      <c r="K33" s="270">
        <f>(J33*((1+K$8)^A33)-1)</f>
        <v>108709.70237616655</v>
      </c>
      <c r="L33" s="270">
        <f t="shared" si="1"/>
        <v>32930.985326347945</v>
      </c>
    </row>
    <row r="34" spans="1:12" ht="11.25">
      <c r="A34" s="265">
        <f t="shared" si="3"/>
        <v>25</v>
      </c>
      <c r="B34" s="266"/>
      <c r="C34" s="266"/>
      <c r="D34" s="266"/>
      <c r="E34" s="266"/>
      <c r="F34" s="266"/>
      <c r="G34" s="266"/>
      <c r="H34" s="266"/>
      <c r="I34" s="267"/>
      <c r="J34" s="271">
        <f t="shared" si="0"/>
        <v>0</v>
      </c>
      <c r="K34" s="270"/>
      <c r="L34" s="270">
        <f t="shared" si="1"/>
        <v>0</v>
      </c>
    </row>
    <row r="35" spans="1:12" ht="11.25">
      <c r="A35" s="265">
        <f t="shared" si="3"/>
        <v>26</v>
      </c>
      <c r="B35" s="266"/>
      <c r="C35" s="266"/>
      <c r="D35" s="266"/>
      <c r="E35" s="266"/>
      <c r="F35" s="266"/>
      <c r="G35" s="266"/>
      <c r="H35" s="266"/>
      <c r="I35" s="267"/>
      <c r="J35" s="271">
        <f t="shared" si="0"/>
        <v>0</v>
      </c>
      <c r="K35" s="270"/>
      <c r="L35" s="270">
        <f t="shared" si="1"/>
        <v>0</v>
      </c>
    </row>
    <row r="36" spans="1:12" ht="11.25">
      <c r="A36" s="265">
        <f t="shared" si="3"/>
        <v>27</v>
      </c>
      <c r="B36" s="266"/>
      <c r="C36" s="266"/>
      <c r="D36" s="266"/>
      <c r="E36" s="266"/>
      <c r="F36" s="266"/>
      <c r="G36" s="266"/>
      <c r="H36" s="266"/>
      <c r="I36" s="267"/>
      <c r="J36" s="271">
        <f t="shared" si="0"/>
        <v>0</v>
      </c>
      <c r="K36" s="270"/>
      <c r="L36" s="270">
        <f t="shared" si="1"/>
        <v>0</v>
      </c>
    </row>
    <row r="37" spans="1:12" ht="11.25">
      <c r="A37" s="265">
        <f t="shared" si="3"/>
        <v>28</v>
      </c>
      <c r="B37" s="266"/>
      <c r="C37" s="266"/>
      <c r="D37" s="266"/>
      <c r="E37" s="266"/>
      <c r="F37" s="266"/>
      <c r="G37" s="266"/>
      <c r="H37" s="266"/>
      <c r="I37" s="267"/>
      <c r="J37" s="271">
        <f t="shared" si="0"/>
        <v>0</v>
      </c>
      <c r="K37" s="270"/>
      <c r="L37" s="270">
        <f t="shared" si="1"/>
        <v>0</v>
      </c>
    </row>
    <row r="38" spans="1:12" ht="11.25">
      <c r="A38" s="265">
        <f t="shared" si="3"/>
        <v>29</v>
      </c>
      <c r="B38" s="266"/>
      <c r="C38" s="266"/>
      <c r="D38" s="266"/>
      <c r="E38" s="266"/>
      <c r="F38" s="266"/>
      <c r="G38" s="266"/>
      <c r="H38" s="266">
        <f>('Operating Cost Estimate'!$J$65*(1/20))+('Operating Cost Estimate'!$J$66/6)+('Operating Cost Estimate'!$J$67/6)</f>
        <v>53478.462</v>
      </c>
      <c r="I38" s="267"/>
      <c r="J38" s="271">
        <f t="shared" si="0"/>
        <v>53478.462</v>
      </c>
      <c r="K38" s="270">
        <f>(J38*((1+K$8)^A38)-1)</f>
        <v>126024.49886363329</v>
      </c>
      <c r="L38" s="270">
        <f t="shared" si="1"/>
        <v>29767.002495601533</v>
      </c>
    </row>
    <row r="39" spans="1:12" s="21" customFormat="1" ht="11.25">
      <c r="A39" s="191" t="s">
        <v>202</v>
      </c>
      <c r="B39" s="192">
        <f aca="true" t="shared" si="4" ref="B39:L39">SUM(B9:B38)</f>
        <v>638807.01</v>
      </c>
      <c r="C39" s="193">
        <f t="shared" si="4"/>
        <v>5043249</v>
      </c>
      <c r="D39" s="193">
        <f t="shared" si="4"/>
        <v>0</v>
      </c>
      <c r="E39" s="193">
        <f t="shared" si="4"/>
        <v>182341.56</v>
      </c>
      <c r="F39" s="193">
        <f t="shared" si="4"/>
        <v>3646834.22</v>
      </c>
      <c r="G39" s="193">
        <f t="shared" si="4"/>
        <v>307260.84</v>
      </c>
      <c r="H39" s="193">
        <f t="shared" si="4"/>
        <v>518745.4</v>
      </c>
      <c r="I39" s="193">
        <f t="shared" si="4"/>
        <v>0</v>
      </c>
      <c r="J39" s="193">
        <f t="shared" si="4"/>
        <v>10337238.03</v>
      </c>
      <c r="K39" s="193">
        <f t="shared" si="4"/>
        <v>11506899.388258627</v>
      </c>
      <c r="L39" s="193">
        <f t="shared" si="4"/>
        <v>9655485.828971723</v>
      </c>
    </row>
    <row r="40" s="21" customFormat="1" ht="11.25"/>
    <row r="41" spans="2:12" s="21" customFormat="1" ht="11.25">
      <c r="B41" s="99"/>
      <c r="C41" s="99"/>
      <c r="D41" s="99"/>
      <c r="E41" s="99"/>
      <c r="F41" s="99"/>
      <c r="G41" s="99"/>
      <c r="H41" s="99"/>
      <c r="I41" s="99"/>
      <c r="J41" s="99"/>
      <c r="L41" s="194"/>
    </row>
    <row r="42" spans="1:10" s="21" customFormat="1" ht="11.25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s="21" customFormat="1" ht="11.25">
      <c r="A43" s="99"/>
      <c r="B43" s="99"/>
      <c r="C43" s="99"/>
      <c r="D43" s="99"/>
      <c r="E43" s="99"/>
      <c r="F43" s="99"/>
      <c r="G43" s="99"/>
      <c r="H43" s="99"/>
      <c r="I43" s="99"/>
      <c r="J43" s="195"/>
    </row>
    <row r="44" spans="1:10" s="21" customFormat="1" ht="11.25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 s="21" customFormat="1" ht="11.25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6" spans="1:10" s="21" customFormat="1" ht="11.25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 s="21" customFormat="1" ht="11.25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 s="21" customFormat="1" ht="11.25">
      <c r="A48" s="99"/>
      <c r="B48" s="99"/>
      <c r="C48" s="99"/>
      <c r="D48" s="99"/>
      <c r="E48" s="99"/>
      <c r="F48" s="99"/>
      <c r="G48" s="99"/>
      <c r="H48" s="99"/>
      <c r="I48" s="99"/>
      <c r="J48" s="99"/>
    </row>
    <row r="49" spans="1:10" s="21" customFormat="1" ht="11.25">
      <c r="A49" s="99"/>
      <c r="B49" s="99"/>
      <c r="C49" s="99"/>
      <c r="D49" s="99"/>
      <c r="E49" s="99"/>
      <c r="F49" s="99"/>
      <c r="G49" s="99"/>
      <c r="H49" s="99"/>
      <c r="I49" s="99"/>
      <c r="J49" s="99"/>
    </row>
    <row r="50" spans="1:10" s="21" customFormat="1" ht="11.25">
      <c r="A50" s="99"/>
      <c r="B50" s="99"/>
      <c r="C50" s="99"/>
      <c r="D50" s="99"/>
      <c r="E50" s="99"/>
      <c r="F50" s="99"/>
      <c r="G50" s="99"/>
      <c r="H50" s="99"/>
      <c r="I50" s="99"/>
      <c r="J50" s="99"/>
    </row>
    <row r="51" spans="1:10" s="21" customFormat="1" ht="11.25">
      <c r="A51" s="99"/>
      <c r="B51" s="99"/>
      <c r="C51" s="99"/>
      <c r="D51" s="99"/>
      <c r="E51" s="99"/>
      <c r="F51" s="99"/>
      <c r="G51" s="99"/>
      <c r="H51" s="99"/>
      <c r="I51" s="99"/>
      <c r="J51" s="99"/>
    </row>
    <row r="52" spans="1:10" s="21" customFormat="1" ht="11.25">
      <c r="A52" s="99"/>
      <c r="B52" s="99"/>
      <c r="C52" s="99"/>
      <c r="D52" s="99"/>
      <c r="E52" s="99"/>
      <c r="F52" s="99"/>
      <c r="G52" s="99"/>
      <c r="H52" s="99"/>
      <c r="I52" s="99"/>
      <c r="J52" s="99"/>
    </row>
    <row r="53" spans="1:10" s="21" customFormat="1" ht="11.25">
      <c r="A53" s="99"/>
      <c r="B53" s="99"/>
      <c r="C53" s="99"/>
      <c r="D53" s="99"/>
      <c r="E53" s="99"/>
      <c r="F53" s="99"/>
      <c r="G53" s="99"/>
      <c r="H53" s="99"/>
      <c r="I53" s="99"/>
      <c r="J53" s="99"/>
    </row>
    <row r="54" spans="1:10" s="21" customFormat="1" ht="11.25">
      <c r="A54" s="99"/>
      <c r="B54" s="99"/>
      <c r="C54" s="99"/>
      <c r="D54" s="99"/>
      <c r="E54" s="99"/>
      <c r="F54" s="99"/>
      <c r="G54" s="99"/>
      <c r="H54" s="99"/>
      <c r="I54" s="99"/>
      <c r="J54" s="99"/>
    </row>
    <row r="55" spans="1:10" s="21" customFormat="1" ht="11.25">
      <c r="A55" s="99"/>
      <c r="B55" s="99"/>
      <c r="C55" s="99"/>
      <c r="D55" s="99"/>
      <c r="E55" s="99"/>
      <c r="F55" s="99"/>
      <c r="G55" s="99"/>
      <c r="H55" s="99"/>
      <c r="I55" s="99"/>
      <c r="J55" s="99"/>
    </row>
    <row r="56" spans="1:10" s="21" customFormat="1" ht="11.25">
      <c r="A56" s="99"/>
      <c r="B56" s="99"/>
      <c r="C56" s="99"/>
      <c r="D56" s="99"/>
      <c r="E56" s="99"/>
      <c r="F56" s="99"/>
      <c r="G56" s="99"/>
      <c r="H56" s="99"/>
      <c r="I56" s="99"/>
      <c r="J56" s="99"/>
    </row>
    <row r="57" spans="1:10" s="21" customFormat="1" ht="11.25">
      <c r="A57" s="99"/>
      <c r="B57" s="99"/>
      <c r="C57" s="99"/>
      <c r="D57" s="99"/>
      <c r="E57" s="99"/>
      <c r="F57" s="99"/>
      <c r="G57" s="99"/>
      <c r="H57" s="99"/>
      <c r="I57" s="99"/>
      <c r="J57" s="99"/>
    </row>
    <row r="58" spans="1:10" s="21" customFormat="1" ht="11.25">
      <c r="A58" s="99"/>
      <c r="B58" s="99"/>
      <c r="C58" s="99"/>
      <c r="D58" s="99"/>
      <c r="E58" s="99"/>
      <c r="F58" s="99"/>
      <c r="G58" s="99"/>
      <c r="H58" s="99"/>
      <c r="I58" s="99"/>
      <c r="J58" s="99"/>
    </row>
    <row r="59" spans="1:10" s="21" customFormat="1" ht="11.2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s="21" customFormat="1" ht="11.25">
      <c r="A60" s="99"/>
      <c r="B60" s="99"/>
      <c r="C60" s="99"/>
      <c r="D60" s="99"/>
      <c r="E60" s="99"/>
      <c r="F60" s="99"/>
      <c r="G60" s="99"/>
      <c r="H60" s="99"/>
      <c r="I60" s="99"/>
      <c r="J60" s="99"/>
    </row>
    <row r="61" spans="1:10" s="21" customFormat="1" ht="11.25">
      <c r="A61" s="99"/>
      <c r="B61" s="99"/>
      <c r="C61" s="99"/>
      <c r="D61" s="99"/>
      <c r="E61" s="99"/>
      <c r="F61" s="99"/>
      <c r="G61" s="99"/>
      <c r="H61" s="99"/>
      <c r="I61" s="99"/>
      <c r="J61" s="195"/>
    </row>
    <row r="62" spans="1:10" s="21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195"/>
    </row>
    <row r="63" spans="1:10" s="21" customFormat="1" ht="11.25">
      <c r="A63" s="99"/>
      <c r="B63" s="99"/>
      <c r="C63" s="99"/>
      <c r="D63" s="99"/>
      <c r="E63" s="99"/>
      <c r="F63" s="99"/>
      <c r="G63" s="99"/>
      <c r="H63" s="99"/>
      <c r="I63" s="99"/>
      <c r="J63" s="195"/>
    </row>
    <row r="64" spans="1:10" s="21" customFormat="1" ht="11.25">
      <c r="A64" s="99"/>
      <c r="B64" s="99"/>
      <c r="C64" s="99"/>
      <c r="D64" s="99"/>
      <c r="E64" s="99"/>
      <c r="F64" s="99"/>
      <c r="G64" s="99"/>
      <c r="H64" s="99"/>
      <c r="I64" s="99"/>
      <c r="J64" s="99"/>
    </row>
    <row r="65" spans="1:10" s="21" customFormat="1" ht="11.25">
      <c r="A65" s="99"/>
      <c r="B65" s="99"/>
      <c r="C65" s="99"/>
      <c r="D65" s="99"/>
      <c r="E65" s="99"/>
      <c r="F65" s="99"/>
      <c r="G65" s="99"/>
      <c r="H65" s="99"/>
      <c r="I65" s="99"/>
      <c r="J65" s="99"/>
    </row>
    <row r="66" spans="1:10" s="21" customFormat="1" ht="11.25">
      <c r="A66" s="99"/>
      <c r="B66" s="99"/>
      <c r="C66" s="99"/>
      <c r="D66" s="99"/>
      <c r="E66" s="99"/>
      <c r="F66" s="99"/>
      <c r="G66" s="99"/>
      <c r="H66" s="99"/>
      <c r="I66" s="99"/>
      <c r="J66" s="195"/>
    </row>
    <row r="67" spans="1:10" s="21" customFormat="1" ht="11.25">
      <c r="A67" s="99"/>
      <c r="B67" s="99"/>
      <c r="C67" s="99"/>
      <c r="D67" s="99"/>
      <c r="E67" s="99"/>
      <c r="F67" s="99"/>
      <c r="G67" s="99"/>
      <c r="H67" s="99"/>
      <c r="I67" s="99"/>
      <c r="J67" s="195"/>
    </row>
    <row r="68" spans="1:10" s="21" customFormat="1" ht="11.25">
      <c r="A68" s="99"/>
      <c r="B68" s="99"/>
      <c r="C68" s="99"/>
      <c r="D68" s="99"/>
      <c r="E68" s="99"/>
      <c r="F68" s="99"/>
      <c r="G68" s="99"/>
      <c r="H68" s="99"/>
      <c r="I68" s="99"/>
      <c r="J68" s="195"/>
    </row>
    <row r="69" spans="1:10" s="21" customFormat="1" ht="11.25">
      <c r="A69" s="99"/>
      <c r="B69" s="99"/>
      <c r="C69" s="99"/>
      <c r="D69" s="99"/>
      <c r="E69" s="99"/>
      <c r="F69" s="99"/>
      <c r="G69" s="99"/>
      <c r="H69" s="99"/>
      <c r="I69" s="99"/>
      <c r="J69" s="99"/>
    </row>
    <row r="70" spans="1:10" s="21" customFormat="1" ht="11.25">
      <c r="A70" s="99"/>
      <c r="B70" s="99"/>
      <c r="C70" s="99"/>
      <c r="D70" s="99"/>
      <c r="E70" s="99"/>
      <c r="F70" s="99"/>
      <c r="G70" s="99"/>
      <c r="H70" s="99"/>
      <c r="I70" s="99"/>
      <c r="J70" s="99"/>
    </row>
    <row r="71" spans="1:10" s="21" customFormat="1" ht="11.25">
      <c r="A71" s="99"/>
      <c r="B71" s="99"/>
      <c r="C71" s="99"/>
      <c r="D71" s="99"/>
      <c r="E71" s="99"/>
      <c r="F71" s="99"/>
      <c r="G71" s="99"/>
      <c r="H71" s="99"/>
      <c r="I71" s="99"/>
      <c r="J71" s="195"/>
    </row>
    <row r="72" spans="1:10" s="21" customFormat="1" ht="11.25">
      <c r="A72" s="99"/>
      <c r="B72" s="99"/>
      <c r="C72" s="99"/>
      <c r="D72" s="99"/>
      <c r="E72" s="99"/>
      <c r="F72" s="99"/>
      <c r="G72" s="99"/>
      <c r="H72" s="99"/>
      <c r="I72" s="99"/>
      <c r="J72" s="195"/>
    </row>
    <row r="73" spans="1:10" s="21" customFormat="1" ht="11.25">
      <c r="A73" s="99"/>
      <c r="B73" s="99"/>
      <c r="C73" s="99"/>
      <c r="D73" s="99"/>
      <c r="E73" s="99"/>
      <c r="F73" s="99"/>
      <c r="G73" s="99"/>
      <c r="H73" s="99"/>
      <c r="I73" s="99"/>
      <c r="J73" s="195"/>
    </row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pans="2:9" s="21" customFormat="1" ht="11.25">
      <c r="B80" s="10"/>
      <c r="C80" s="10"/>
      <c r="F80" s="196"/>
      <c r="G80" s="196"/>
      <c r="H80" s="196"/>
      <c r="I80" s="196"/>
    </row>
    <row r="81" s="21" customFormat="1" ht="11.25">
      <c r="B81" s="10"/>
    </row>
    <row r="82" s="21" customFormat="1" ht="4.5" customHeight="1">
      <c r="B82" s="10"/>
    </row>
    <row r="83" spans="1:10" ht="11.25">
      <c r="A83" s="21"/>
      <c r="J83" s="21"/>
    </row>
    <row r="84" spans="1:10" ht="4.5" customHeight="1">
      <c r="A84" s="21"/>
      <c r="J84" s="21"/>
    </row>
    <row r="85" spans="1:10" ht="11.25">
      <c r="A85" s="21"/>
      <c r="J85" s="21"/>
    </row>
    <row r="86" spans="1:10" ht="4.5" customHeight="1">
      <c r="A86" s="21"/>
      <c r="J86" s="21"/>
    </row>
    <row r="87" spans="1:10" ht="11.25">
      <c r="A87" s="21"/>
      <c r="J87" s="21"/>
    </row>
    <row r="88" spans="1:10" ht="4.5" customHeight="1">
      <c r="A88" s="21"/>
      <c r="J88" s="21"/>
    </row>
    <row r="89" spans="1:10" ht="11.25">
      <c r="A89" s="21"/>
      <c r="J89" s="21"/>
    </row>
    <row r="90" spans="1:10" ht="11.25">
      <c r="A90" s="21"/>
      <c r="J90" s="21"/>
    </row>
    <row r="91" spans="1:10" ht="11.25">
      <c r="A91" s="21"/>
      <c r="J91" s="21"/>
    </row>
    <row r="92" spans="1:10" ht="4.5" customHeight="1">
      <c r="A92" s="21"/>
      <c r="J92" s="21"/>
    </row>
    <row r="96" ht="4.5" customHeight="1"/>
    <row r="101" ht="11.25">
      <c r="E101" s="197"/>
    </row>
    <row r="102" ht="11.25">
      <c r="E102" s="197"/>
    </row>
    <row r="103" ht="11.25">
      <c r="E103" s="197"/>
    </row>
    <row r="109" ht="4.5" customHeight="1"/>
    <row r="113" ht="4.5" customHeight="1"/>
    <row r="114" ht="11.25">
      <c r="B114" s="70"/>
    </row>
  </sheetData>
  <mergeCells count="6">
    <mergeCell ref="B3:J3"/>
    <mergeCell ref="A6:A8"/>
    <mergeCell ref="B6:I6"/>
    <mergeCell ref="J6:J8"/>
    <mergeCell ref="B7:E7"/>
    <mergeCell ref="F7:I7"/>
  </mergeCells>
  <hyperlinks>
    <hyperlink ref="K9" r:id="rId1" display="=@npv(L8,K9)"/>
    <hyperlink ref="K10" r:id="rId2" display="=@npv(L8,K9)"/>
    <hyperlink ref="L9" r:id="rId3" display="=@npv(L8,K9)"/>
    <hyperlink ref="L10" r:id="rId4" display="=@npv(L8,K9)"/>
    <hyperlink ref="L11:L13" r:id="rId5" display="=@npv(L8,K9)"/>
    <hyperlink ref="L14:L38" r:id="rId6" display="=@npv(L8,K9)"/>
  </hyperlinks>
  <printOptions/>
  <pageMargins left="0.75" right="0.75" top="1" bottom="1" header="0.5" footer="0.5"/>
  <pageSetup fitToHeight="1" fitToWidth="1" horizontalDpi="600" verticalDpi="600" orientation="portrait" scale="56" r:id="rId7"/>
  <headerFooter alignWithMargins="0">
    <oddFooter>&amp;L&amp;"Braggadocio,Regular"CSP&amp;X2&amp;RPage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8" style="10" customWidth="1"/>
    <col min="2" max="2" width="13.66015625" style="21" customWidth="1"/>
    <col min="3" max="3" width="13.66015625" style="21" bestFit="1" customWidth="1"/>
    <col min="4" max="4" width="15.33203125" style="21" customWidth="1"/>
    <col min="5" max="5" width="13.66015625" style="21" bestFit="1" customWidth="1"/>
    <col min="6" max="9" width="13.66015625" style="21" customWidth="1"/>
    <col min="10" max="10" width="16.66015625" style="10" customWidth="1"/>
    <col min="11" max="12" width="14.83203125" style="10" bestFit="1" customWidth="1"/>
    <col min="13" max="155" width="12.83203125" style="10" bestFit="1" customWidth="1"/>
    <col min="156" max="156" width="14" style="10" bestFit="1" customWidth="1"/>
    <col min="157" max="16384" width="9.33203125" style="10" customWidth="1"/>
  </cols>
  <sheetData>
    <row r="1" spans="1:10" s="21" customFormat="1" ht="12">
      <c r="A1" s="87"/>
      <c r="B1" s="181" t="s">
        <v>266</v>
      </c>
      <c r="C1" s="182"/>
      <c r="D1" s="182"/>
      <c r="E1" s="182"/>
      <c r="F1" s="182"/>
      <c r="G1" s="182"/>
      <c r="H1" s="182"/>
      <c r="I1" s="182"/>
      <c r="J1" s="182"/>
    </row>
    <row r="2" spans="2:10" s="21" customFormat="1" ht="12">
      <c r="B2" s="181" t="s">
        <v>192</v>
      </c>
      <c r="C2" s="182"/>
      <c r="D2" s="182"/>
      <c r="E2" s="182"/>
      <c r="F2" s="182"/>
      <c r="G2" s="182"/>
      <c r="H2" s="182"/>
      <c r="I2" s="182"/>
      <c r="J2" s="182"/>
    </row>
    <row r="3" spans="2:10" s="21" customFormat="1" ht="12">
      <c r="B3" s="351" t="s">
        <v>265</v>
      </c>
      <c r="C3" s="352"/>
      <c r="D3" s="352"/>
      <c r="E3" s="352"/>
      <c r="F3" s="352"/>
      <c r="G3" s="352"/>
      <c r="H3" s="352"/>
      <c r="I3" s="352"/>
      <c r="J3" s="352"/>
    </row>
    <row r="4" spans="2:10" s="21" customFormat="1" ht="12">
      <c r="B4" s="181"/>
      <c r="C4" s="182"/>
      <c r="D4" s="182"/>
      <c r="E4" s="182"/>
      <c r="F4" s="182"/>
      <c r="G4" s="182"/>
      <c r="H4" s="182"/>
      <c r="I4" s="182"/>
      <c r="J4" s="182"/>
    </row>
    <row r="5" s="21" customFormat="1" ht="11.25"/>
    <row r="6" spans="1:12" ht="11.25">
      <c r="A6" s="353" t="s">
        <v>193</v>
      </c>
      <c r="B6" s="355" t="s">
        <v>194</v>
      </c>
      <c r="C6" s="355"/>
      <c r="D6" s="355"/>
      <c r="E6" s="355"/>
      <c r="F6" s="356"/>
      <c r="G6" s="356"/>
      <c r="H6" s="356"/>
      <c r="I6" s="356"/>
      <c r="J6" s="357" t="s">
        <v>195</v>
      </c>
      <c r="K6" s="183" t="s">
        <v>196</v>
      </c>
      <c r="L6" s="184" t="s">
        <v>197</v>
      </c>
    </row>
    <row r="7" spans="1:12" ht="11.25">
      <c r="A7" s="329"/>
      <c r="B7" s="356" t="s">
        <v>198</v>
      </c>
      <c r="C7" s="356"/>
      <c r="D7" s="356"/>
      <c r="E7" s="356"/>
      <c r="F7" s="360" t="s">
        <v>191</v>
      </c>
      <c r="G7" s="361"/>
      <c r="H7" s="361"/>
      <c r="I7" s="362"/>
      <c r="J7" s="358"/>
      <c r="K7" s="185" t="s">
        <v>199</v>
      </c>
      <c r="L7" s="186" t="s">
        <v>200</v>
      </c>
    </row>
    <row r="8" spans="1:12" ht="33.75">
      <c r="A8" s="354"/>
      <c r="B8" s="187" t="s">
        <v>204</v>
      </c>
      <c r="C8" s="187" t="s">
        <v>205</v>
      </c>
      <c r="D8" s="187" t="s">
        <v>54</v>
      </c>
      <c r="E8" s="187" t="s">
        <v>201</v>
      </c>
      <c r="F8" s="187" t="s">
        <v>206</v>
      </c>
      <c r="G8" s="187" t="s">
        <v>207</v>
      </c>
      <c r="H8" s="187" t="s">
        <v>212</v>
      </c>
      <c r="I8" s="187" t="s">
        <v>211</v>
      </c>
      <c r="J8" s="359"/>
      <c r="K8" s="188">
        <v>0.03</v>
      </c>
      <c r="L8" s="189">
        <v>0.05</v>
      </c>
    </row>
    <row r="9" spans="1:12" ht="11.25">
      <c r="A9" s="265">
        <v>0</v>
      </c>
      <c r="B9" s="266">
        <f>'Capital Cost Estimate'!$W$162/3</f>
        <v>397199.9633333333</v>
      </c>
      <c r="C9" s="266"/>
      <c r="D9" s="266"/>
      <c r="E9" s="266">
        <f>'Capital Cost Estimate'!$W$175</f>
        <v>24820625</v>
      </c>
      <c r="F9" s="274"/>
      <c r="G9" s="274">
        <f>'Operating Cost Estimate'!$L$63/6</f>
        <v>51210.14000000001</v>
      </c>
      <c r="H9" s="274">
        <f>('Operating Cost Estimate'!$L$65*(4/20))</f>
        <v>56535.608</v>
      </c>
      <c r="I9" s="275"/>
      <c r="J9" s="268">
        <f aca="true" t="shared" si="0" ref="J9:J38">SUM(B9:I9)</f>
        <v>25325570.711333334</v>
      </c>
      <c r="K9" s="269">
        <f>($J9*((1+K$8)^A9))</f>
        <v>25325570.711333334</v>
      </c>
      <c r="L9" s="270">
        <f aca="true" t="shared" si="1" ref="L9:L38">J9*((1+K$8-L$8)^A9)</f>
        <v>25325570.711333334</v>
      </c>
    </row>
    <row r="10" spans="1:12" ht="11.25">
      <c r="A10" s="265">
        <f>1+A9</f>
        <v>1</v>
      </c>
      <c r="B10" s="266">
        <f>'Capital Cost Estimate'!$W$162/3</f>
        <v>397199.9633333333</v>
      </c>
      <c r="C10" s="266"/>
      <c r="D10" s="266"/>
      <c r="E10" s="266"/>
      <c r="F10" s="274">
        <f>'Operating Cost Estimate'!$L$62/5</f>
        <v>729366.844</v>
      </c>
      <c r="G10" s="274">
        <f>'Operating Cost Estimate'!$L$63/6</f>
        <v>51210.14000000001</v>
      </c>
      <c r="H10" s="274">
        <f>('Operating Cost Estimate'!$L$65*(4/20))</f>
        <v>56535.608</v>
      </c>
      <c r="I10" s="275"/>
      <c r="J10" s="271">
        <f t="shared" si="0"/>
        <v>1234312.5553333333</v>
      </c>
      <c r="K10" s="270">
        <f aca="true" t="shared" si="2" ref="K10:K18">(J10*((1+K$8)^A10)-1)</f>
        <v>1271340.9319933334</v>
      </c>
      <c r="L10" s="270">
        <f t="shared" si="1"/>
        <v>1209626.3042266667</v>
      </c>
    </row>
    <row r="11" spans="1:12" ht="11.25">
      <c r="A11" s="265">
        <f aca="true" t="shared" si="3" ref="A11:A38">1+A10</f>
        <v>2</v>
      </c>
      <c r="B11" s="266">
        <f>'Capital Cost Estimate'!$W$162/3</f>
        <v>397199.9633333333</v>
      </c>
      <c r="C11" s="266"/>
      <c r="D11" s="266"/>
      <c r="E11" s="266"/>
      <c r="F11" s="274">
        <f>'Operating Cost Estimate'!$L$62/5</f>
        <v>729366.844</v>
      </c>
      <c r="G11" s="274">
        <f>'Operating Cost Estimate'!$L$63/6</f>
        <v>51210.14000000001</v>
      </c>
      <c r="H11" s="274">
        <f>('Operating Cost Estimate'!$L$65*(1/20))</f>
        <v>14133.902</v>
      </c>
      <c r="I11" s="275"/>
      <c r="J11" s="271">
        <f t="shared" si="0"/>
        <v>1191910.8493333333</v>
      </c>
      <c r="K11" s="270">
        <f t="shared" si="2"/>
        <v>1264497.2200577334</v>
      </c>
      <c r="L11" s="270">
        <f t="shared" si="1"/>
        <v>1144711.1796997332</v>
      </c>
    </row>
    <row r="12" spans="1:12" ht="11.25">
      <c r="A12" s="265">
        <f t="shared" si="3"/>
        <v>3</v>
      </c>
      <c r="B12" s="266"/>
      <c r="C12" s="266">
        <f>'Capital Cost Estimate'!$W$170/2</f>
        <v>4098338.5650000004</v>
      </c>
      <c r="D12" s="266"/>
      <c r="E12" s="272"/>
      <c r="F12" s="274">
        <f>'Operating Cost Estimate'!$L$62/5</f>
        <v>729366.844</v>
      </c>
      <c r="G12" s="274">
        <f>'Operating Cost Estimate'!$L$63/6</f>
        <v>51210.14000000001</v>
      </c>
      <c r="H12" s="274">
        <f>('Operating Cost Estimate'!$L$65*(1/20))</f>
        <v>14133.902</v>
      </c>
      <c r="I12" s="275"/>
      <c r="J12" s="271">
        <f t="shared" si="0"/>
        <v>4893049.450999999</v>
      </c>
      <c r="K12" s="270">
        <f t="shared" si="2"/>
        <v>5346766.247442876</v>
      </c>
      <c r="L12" s="270">
        <f t="shared" si="1"/>
        <v>4605298.9988855915</v>
      </c>
    </row>
    <row r="13" spans="1:12" ht="11.25">
      <c r="A13" s="265">
        <f t="shared" si="3"/>
        <v>4</v>
      </c>
      <c r="B13" s="266"/>
      <c r="C13" s="266">
        <f>'Capital Cost Estimate'!$W$170/2</f>
        <v>4098338.5650000004</v>
      </c>
      <c r="D13" s="266"/>
      <c r="E13" s="266"/>
      <c r="F13" s="274">
        <f>'Operating Cost Estimate'!$L$62/5</f>
        <v>729366.844</v>
      </c>
      <c r="G13" s="274">
        <f>'Operating Cost Estimate'!$L$63/6</f>
        <v>51210.14000000001</v>
      </c>
      <c r="H13" s="274">
        <f>('Operating Cost Estimate'!$L$65*(1/20))+('Operating Cost Estimate'!$L$66/6)+('Operating Cost Estimate'!$L$67/6)</f>
        <v>53478.462</v>
      </c>
      <c r="I13" s="275"/>
      <c r="J13" s="271">
        <f t="shared" si="0"/>
        <v>4932394.011</v>
      </c>
      <c r="K13" s="270">
        <f t="shared" si="2"/>
        <v>5551451.913771736</v>
      </c>
      <c r="L13" s="270">
        <f t="shared" si="1"/>
        <v>4549483.188321089</v>
      </c>
    </row>
    <row r="14" spans="1:12" ht="11.25">
      <c r="A14" s="265">
        <f t="shared" si="3"/>
        <v>5</v>
      </c>
      <c r="B14" s="266"/>
      <c r="C14" s="273"/>
      <c r="D14" s="266"/>
      <c r="E14" s="266"/>
      <c r="F14" s="274">
        <f>'Operating Cost Estimate'!$L$62/5</f>
        <v>729366.844</v>
      </c>
      <c r="G14" s="274">
        <f>'Operating Cost Estimate'!$L$63/6</f>
        <v>51210.14000000001</v>
      </c>
      <c r="H14" s="274">
        <f>('Operating Cost Estimate'!$L$65*(1/20))</f>
        <v>14133.902</v>
      </c>
      <c r="I14" s="275"/>
      <c r="J14" s="271">
        <f t="shared" si="0"/>
        <v>794710.886</v>
      </c>
      <c r="K14" s="270">
        <f t="shared" si="2"/>
        <v>921286.7267037828</v>
      </c>
      <c r="L14" s="270">
        <f t="shared" si="1"/>
        <v>718355.6972987539</v>
      </c>
    </row>
    <row r="15" spans="1:12" ht="11.25">
      <c r="A15" s="265">
        <f t="shared" si="3"/>
        <v>6</v>
      </c>
      <c r="B15" s="266"/>
      <c r="C15" s="266"/>
      <c r="D15" s="266"/>
      <c r="E15" s="266"/>
      <c r="F15" s="274"/>
      <c r="G15" s="274"/>
      <c r="H15" s="274">
        <f>('Operating Cost Estimate'!$L$65*(1/20))</f>
        <v>14133.902</v>
      </c>
      <c r="I15" s="275"/>
      <c r="J15" s="271">
        <f t="shared" si="0"/>
        <v>14133.902</v>
      </c>
      <c r="K15" s="270">
        <f t="shared" si="2"/>
        <v>16875.618142015825</v>
      </c>
      <c r="L15" s="270">
        <f t="shared" si="1"/>
        <v>12520.40939857845</v>
      </c>
    </row>
    <row r="16" spans="1:12" ht="11.25">
      <c r="A16" s="265">
        <f t="shared" si="3"/>
        <v>7</v>
      </c>
      <c r="B16" s="266"/>
      <c r="C16" s="266"/>
      <c r="D16" s="266"/>
      <c r="E16" s="266"/>
      <c r="F16" s="274"/>
      <c r="G16" s="274"/>
      <c r="H16" s="274">
        <f>('Operating Cost Estimate'!$L$65*(1/20))</f>
        <v>14133.902</v>
      </c>
      <c r="I16" s="275"/>
      <c r="J16" s="271">
        <f t="shared" si="0"/>
        <v>14133.902</v>
      </c>
      <c r="K16" s="270">
        <f t="shared" si="2"/>
        <v>17381.9166862763</v>
      </c>
      <c r="L16" s="270">
        <f t="shared" si="1"/>
        <v>12270.001210606879</v>
      </c>
    </row>
    <row r="17" spans="1:12" ht="11.25">
      <c r="A17" s="265">
        <f t="shared" si="3"/>
        <v>8</v>
      </c>
      <c r="B17" s="266"/>
      <c r="C17" s="266"/>
      <c r="D17" s="266"/>
      <c r="E17" s="266"/>
      <c r="F17" s="274"/>
      <c r="G17" s="274"/>
      <c r="H17" s="274">
        <f>('Operating Cost Estimate'!$L$65*(1/20))</f>
        <v>14133.902</v>
      </c>
      <c r="I17" s="275"/>
      <c r="J17" s="271">
        <f t="shared" si="0"/>
        <v>14133.902</v>
      </c>
      <c r="K17" s="270">
        <f t="shared" si="2"/>
        <v>17903.404186864587</v>
      </c>
      <c r="L17" s="270">
        <f t="shared" si="1"/>
        <v>12024.601186394742</v>
      </c>
    </row>
    <row r="18" spans="1:12" ht="11.25">
      <c r="A18" s="265">
        <f t="shared" si="3"/>
        <v>9</v>
      </c>
      <c r="B18" s="266"/>
      <c r="C18" s="266"/>
      <c r="D18" s="266"/>
      <c r="E18" s="266"/>
      <c r="F18" s="274"/>
      <c r="G18" s="274"/>
      <c r="H18" s="274">
        <f>('Operating Cost Estimate'!$L$65*(1/20))+('Operating Cost Estimate'!$L$66/6)+('Operating Cost Estimate'!$L$67/6)</f>
        <v>53478.462</v>
      </c>
      <c r="I18" s="275"/>
      <c r="J18" s="271">
        <f t="shared" si="0"/>
        <v>53478.462</v>
      </c>
      <c r="K18" s="270">
        <f t="shared" si="2"/>
        <v>69776.26313003126</v>
      </c>
      <c r="L18" s="270">
        <f t="shared" si="1"/>
        <v>44587.54801466225</v>
      </c>
    </row>
    <row r="19" spans="1:12" ht="11.25">
      <c r="A19" s="265">
        <f t="shared" si="3"/>
        <v>10</v>
      </c>
      <c r="B19" s="266"/>
      <c r="C19" s="266"/>
      <c r="D19" s="266"/>
      <c r="E19" s="266"/>
      <c r="F19" s="274"/>
      <c r="G19" s="274"/>
      <c r="H19" s="274"/>
      <c r="I19" s="275"/>
      <c r="J19" s="271">
        <f t="shared" si="0"/>
        <v>0</v>
      </c>
      <c r="K19" s="270"/>
      <c r="L19" s="270">
        <f t="shared" si="1"/>
        <v>0</v>
      </c>
    </row>
    <row r="20" spans="1:12" ht="11.25">
      <c r="A20" s="265">
        <f t="shared" si="3"/>
        <v>11</v>
      </c>
      <c r="B20" s="266"/>
      <c r="C20" s="266"/>
      <c r="D20" s="266"/>
      <c r="E20" s="266"/>
      <c r="F20" s="274"/>
      <c r="G20" s="274"/>
      <c r="H20" s="274"/>
      <c r="I20" s="275"/>
      <c r="J20" s="271">
        <f t="shared" si="0"/>
        <v>0</v>
      </c>
      <c r="K20" s="270"/>
      <c r="L20" s="270">
        <f t="shared" si="1"/>
        <v>0</v>
      </c>
    </row>
    <row r="21" spans="1:12" ht="11.25">
      <c r="A21" s="265">
        <f t="shared" si="3"/>
        <v>12</v>
      </c>
      <c r="B21" s="266"/>
      <c r="C21" s="266"/>
      <c r="D21" s="266"/>
      <c r="E21" s="266"/>
      <c r="F21" s="274"/>
      <c r="G21" s="274"/>
      <c r="H21" s="274"/>
      <c r="I21" s="275"/>
      <c r="J21" s="271">
        <f t="shared" si="0"/>
        <v>0</v>
      </c>
      <c r="K21" s="270"/>
      <c r="L21" s="270">
        <f t="shared" si="1"/>
        <v>0</v>
      </c>
    </row>
    <row r="22" spans="1:12" ht="11.25">
      <c r="A22" s="265">
        <f t="shared" si="3"/>
        <v>13</v>
      </c>
      <c r="B22" s="266"/>
      <c r="C22" s="266"/>
      <c r="D22" s="266"/>
      <c r="E22" s="266"/>
      <c r="F22" s="274"/>
      <c r="G22" s="274"/>
      <c r="H22" s="274"/>
      <c r="I22" s="275"/>
      <c r="J22" s="271">
        <f t="shared" si="0"/>
        <v>0</v>
      </c>
      <c r="K22" s="270"/>
      <c r="L22" s="270">
        <f t="shared" si="1"/>
        <v>0</v>
      </c>
    </row>
    <row r="23" spans="1:12" ht="11.25">
      <c r="A23" s="265">
        <f t="shared" si="3"/>
        <v>14</v>
      </c>
      <c r="B23" s="266"/>
      <c r="C23" s="266"/>
      <c r="D23" s="266"/>
      <c r="E23" s="266"/>
      <c r="F23" s="274"/>
      <c r="G23" s="274"/>
      <c r="H23" s="274">
        <f>('Operating Cost Estimate'!$L$65*(1/20))+('Operating Cost Estimate'!$L$66/6)+('Operating Cost Estimate'!$L$67/6)</f>
        <v>53478.462</v>
      </c>
      <c r="I23" s="275"/>
      <c r="J23" s="271">
        <f t="shared" si="0"/>
        <v>53478.462</v>
      </c>
      <c r="K23" s="270">
        <f>(J23*((1+K$8)^A23)-1)</f>
        <v>80889.9721222545</v>
      </c>
      <c r="L23" s="270">
        <f t="shared" si="1"/>
        <v>40303.61192877175</v>
      </c>
    </row>
    <row r="24" spans="1:12" ht="11.25">
      <c r="A24" s="265">
        <f t="shared" si="3"/>
        <v>15</v>
      </c>
      <c r="B24" s="266"/>
      <c r="C24" s="266"/>
      <c r="D24" s="266"/>
      <c r="E24" s="266"/>
      <c r="F24" s="274"/>
      <c r="G24" s="274"/>
      <c r="H24" s="274"/>
      <c r="I24" s="275"/>
      <c r="J24" s="271">
        <f t="shared" si="0"/>
        <v>0</v>
      </c>
      <c r="K24" s="270"/>
      <c r="L24" s="270">
        <f t="shared" si="1"/>
        <v>0</v>
      </c>
    </row>
    <row r="25" spans="1:12" ht="11.25">
      <c r="A25" s="265">
        <f t="shared" si="3"/>
        <v>16</v>
      </c>
      <c r="B25" s="266"/>
      <c r="C25" s="266"/>
      <c r="D25" s="266"/>
      <c r="E25" s="266"/>
      <c r="F25" s="274"/>
      <c r="G25" s="274"/>
      <c r="H25" s="274"/>
      <c r="I25" s="275"/>
      <c r="J25" s="271">
        <f t="shared" si="0"/>
        <v>0</v>
      </c>
      <c r="K25" s="270"/>
      <c r="L25" s="270">
        <f t="shared" si="1"/>
        <v>0</v>
      </c>
    </row>
    <row r="26" spans="1:12" ht="11.25">
      <c r="A26" s="265">
        <f t="shared" si="3"/>
        <v>17</v>
      </c>
      <c r="B26" s="266"/>
      <c r="C26" s="266"/>
      <c r="D26" s="266"/>
      <c r="E26" s="266"/>
      <c r="F26" s="274"/>
      <c r="G26" s="274"/>
      <c r="H26" s="274"/>
      <c r="I26" s="275"/>
      <c r="J26" s="271">
        <f t="shared" si="0"/>
        <v>0</v>
      </c>
      <c r="K26" s="270"/>
      <c r="L26" s="270">
        <f t="shared" si="1"/>
        <v>0</v>
      </c>
    </row>
    <row r="27" spans="1:12" ht="11.25">
      <c r="A27" s="265">
        <f t="shared" si="3"/>
        <v>18</v>
      </c>
      <c r="B27" s="266"/>
      <c r="C27" s="266"/>
      <c r="D27" s="266"/>
      <c r="E27" s="266"/>
      <c r="F27" s="274"/>
      <c r="G27" s="274"/>
      <c r="H27" s="274"/>
      <c r="I27" s="275"/>
      <c r="J27" s="271">
        <f t="shared" si="0"/>
        <v>0</v>
      </c>
      <c r="K27" s="270"/>
      <c r="L27" s="270">
        <f t="shared" si="1"/>
        <v>0</v>
      </c>
    </row>
    <row r="28" spans="1:12" ht="11.25">
      <c r="A28" s="265">
        <f t="shared" si="3"/>
        <v>19</v>
      </c>
      <c r="B28" s="266"/>
      <c r="C28" s="266"/>
      <c r="D28" s="266"/>
      <c r="E28" s="266"/>
      <c r="F28" s="274"/>
      <c r="G28" s="274"/>
      <c r="H28" s="274">
        <f>('Operating Cost Estimate'!$L$65*(1/20))+('Operating Cost Estimate'!$L$66/6)+('Operating Cost Estimate'!$L$67/6)</f>
        <v>53478.462</v>
      </c>
      <c r="I28" s="275"/>
      <c r="J28" s="271">
        <f t="shared" si="0"/>
        <v>53478.462</v>
      </c>
      <c r="K28" s="270">
        <f>(J28*((1+K$8)^A28)-1)</f>
        <v>93773.80682625368</v>
      </c>
      <c r="L28" s="270">
        <f t="shared" si="1"/>
        <v>36431.27300857334</v>
      </c>
    </row>
    <row r="29" spans="1:12" ht="11.25">
      <c r="A29" s="265">
        <f t="shared" si="3"/>
        <v>20</v>
      </c>
      <c r="B29" s="266"/>
      <c r="C29" s="266"/>
      <c r="D29" s="266"/>
      <c r="E29" s="266"/>
      <c r="F29" s="274"/>
      <c r="G29" s="274"/>
      <c r="H29" s="274"/>
      <c r="I29" s="275"/>
      <c r="J29" s="271">
        <f t="shared" si="0"/>
        <v>0</v>
      </c>
      <c r="K29" s="270"/>
      <c r="L29" s="270">
        <f t="shared" si="1"/>
        <v>0</v>
      </c>
    </row>
    <row r="30" spans="1:12" ht="11.25">
      <c r="A30" s="265">
        <f t="shared" si="3"/>
        <v>21</v>
      </c>
      <c r="B30" s="266"/>
      <c r="C30" s="266"/>
      <c r="D30" s="266"/>
      <c r="E30" s="266"/>
      <c r="F30" s="274"/>
      <c r="G30" s="274"/>
      <c r="H30" s="274"/>
      <c r="I30" s="275"/>
      <c r="J30" s="271">
        <f t="shared" si="0"/>
        <v>0</v>
      </c>
      <c r="K30" s="270"/>
      <c r="L30" s="270">
        <f t="shared" si="1"/>
        <v>0</v>
      </c>
    </row>
    <row r="31" spans="1:12" ht="11.25">
      <c r="A31" s="265">
        <f t="shared" si="3"/>
        <v>22</v>
      </c>
      <c r="B31" s="266"/>
      <c r="C31" s="266"/>
      <c r="D31" s="266"/>
      <c r="E31" s="266"/>
      <c r="F31" s="274"/>
      <c r="G31" s="274"/>
      <c r="H31" s="274"/>
      <c r="I31" s="275"/>
      <c r="J31" s="271">
        <f t="shared" si="0"/>
        <v>0</v>
      </c>
      <c r="K31" s="270"/>
      <c r="L31" s="270">
        <f t="shared" si="1"/>
        <v>0</v>
      </c>
    </row>
    <row r="32" spans="1:12" ht="11.25">
      <c r="A32" s="265">
        <f t="shared" si="3"/>
        <v>23</v>
      </c>
      <c r="B32" s="266"/>
      <c r="C32" s="266"/>
      <c r="D32" s="266"/>
      <c r="E32" s="266"/>
      <c r="F32" s="274"/>
      <c r="G32" s="274"/>
      <c r="H32" s="274"/>
      <c r="I32" s="275"/>
      <c r="J32" s="271">
        <f t="shared" si="0"/>
        <v>0</v>
      </c>
      <c r="K32" s="270"/>
      <c r="L32" s="270">
        <f t="shared" si="1"/>
        <v>0</v>
      </c>
    </row>
    <row r="33" spans="1:12" ht="11.25">
      <c r="A33" s="265">
        <f t="shared" si="3"/>
        <v>24</v>
      </c>
      <c r="B33" s="266"/>
      <c r="C33" s="266"/>
      <c r="D33" s="266"/>
      <c r="E33" s="266"/>
      <c r="F33" s="274"/>
      <c r="G33" s="274"/>
      <c r="H33" s="274">
        <f>('Operating Cost Estimate'!$L$65*(1/20))+('Operating Cost Estimate'!$L$66/6)+('Operating Cost Estimate'!$L$67/6)</f>
        <v>53478.462</v>
      </c>
      <c r="I33" s="275"/>
      <c r="J33" s="271">
        <f t="shared" si="0"/>
        <v>53478.462</v>
      </c>
      <c r="K33" s="270">
        <f>(J33*((1+K$8)^A33)-1)</f>
        <v>108709.70237616655</v>
      </c>
      <c r="L33" s="270">
        <f t="shared" si="1"/>
        <v>32930.985326347945</v>
      </c>
    </row>
    <row r="34" spans="1:12" ht="11.25">
      <c r="A34" s="265">
        <f t="shared" si="3"/>
        <v>25</v>
      </c>
      <c r="B34" s="266"/>
      <c r="C34" s="266"/>
      <c r="D34" s="266"/>
      <c r="E34" s="266"/>
      <c r="F34" s="274"/>
      <c r="G34" s="274"/>
      <c r="H34" s="274"/>
      <c r="I34" s="275"/>
      <c r="J34" s="271">
        <f t="shared" si="0"/>
        <v>0</v>
      </c>
      <c r="K34" s="270"/>
      <c r="L34" s="270">
        <f t="shared" si="1"/>
        <v>0</v>
      </c>
    </row>
    <row r="35" spans="1:12" ht="11.25">
      <c r="A35" s="265">
        <f t="shared" si="3"/>
        <v>26</v>
      </c>
      <c r="B35" s="266"/>
      <c r="C35" s="266"/>
      <c r="D35" s="266"/>
      <c r="E35" s="266"/>
      <c r="F35" s="274"/>
      <c r="G35" s="274"/>
      <c r="H35" s="274"/>
      <c r="I35" s="275"/>
      <c r="J35" s="271">
        <f t="shared" si="0"/>
        <v>0</v>
      </c>
      <c r="K35" s="270"/>
      <c r="L35" s="270">
        <f t="shared" si="1"/>
        <v>0</v>
      </c>
    </row>
    <row r="36" spans="1:12" ht="11.25">
      <c r="A36" s="265">
        <f t="shared" si="3"/>
        <v>27</v>
      </c>
      <c r="B36" s="266"/>
      <c r="C36" s="266"/>
      <c r="D36" s="266"/>
      <c r="E36" s="266"/>
      <c r="F36" s="274"/>
      <c r="G36" s="274"/>
      <c r="H36" s="274"/>
      <c r="I36" s="275"/>
      <c r="J36" s="271">
        <f t="shared" si="0"/>
        <v>0</v>
      </c>
      <c r="K36" s="270"/>
      <c r="L36" s="270">
        <f t="shared" si="1"/>
        <v>0</v>
      </c>
    </row>
    <row r="37" spans="1:12" ht="11.25">
      <c r="A37" s="265">
        <f t="shared" si="3"/>
        <v>28</v>
      </c>
      <c r="B37" s="266"/>
      <c r="C37" s="266"/>
      <c r="D37" s="266"/>
      <c r="E37" s="266"/>
      <c r="F37" s="274"/>
      <c r="G37" s="274"/>
      <c r="H37" s="274"/>
      <c r="I37" s="275"/>
      <c r="J37" s="271">
        <f t="shared" si="0"/>
        <v>0</v>
      </c>
      <c r="K37" s="270"/>
      <c r="L37" s="270">
        <f t="shared" si="1"/>
        <v>0</v>
      </c>
    </row>
    <row r="38" spans="1:12" ht="11.25">
      <c r="A38" s="265">
        <f t="shared" si="3"/>
        <v>29</v>
      </c>
      <c r="B38" s="266"/>
      <c r="C38" s="266"/>
      <c r="D38" s="266"/>
      <c r="E38" s="266"/>
      <c r="F38" s="274"/>
      <c r="G38" s="274"/>
      <c r="H38" s="274">
        <f>('Operating Cost Estimate'!$L$65*(1/20))+('Operating Cost Estimate'!$L$66/6)+('Operating Cost Estimate'!$L$67/6)</f>
        <v>53478.462</v>
      </c>
      <c r="I38" s="275"/>
      <c r="J38" s="271">
        <f t="shared" si="0"/>
        <v>53478.462</v>
      </c>
      <c r="K38" s="270">
        <f>(J38*((1+K$8)^A38)-1)</f>
        <v>126024.49886363329</v>
      </c>
      <c r="L38" s="270">
        <f t="shared" si="1"/>
        <v>29767.002495601533</v>
      </c>
    </row>
    <row r="39" spans="1:12" s="21" customFormat="1" ht="11.25">
      <c r="A39" s="191" t="s">
        <v>202</v>
      </c>
      <c r="B39" s="192">
        <f aca="true" t="shared" si="4" ref="B39:L39">SUM(B9:B38)</f>
        <v>1191599.89</v>
      </c>
      <c r="C39" s="193">
        <f t="shared" si="4"/>
        <v>8196677.130000001</v>
      </c>
      <c r="D39" s="193">
        <f t="shared" si="4"/>
        <v>0</v>
      </c>
      <c r="E39" s="193">
        <f t="shared" si="4"/>
        <v>24820625</v>
      </c>
      <c r="F39" s="193">
        <f t="shared" si="4"/>
        <v>3646834.22</v>
      </c>
      <c r="G39" s="193">
        <f t="shared" si="4"/>
        <v>307260.84</v>
      </c>
      <c r="H39" s="193">
        <f t="shared" si="4"/>
        <v>518745.4</v>
      </c>
      <c r="I39" s="193">
        <f t="shared" si="4"/>
        <v>0</v>
      </c>
      <c r="J39" s="193">
        <f t="shared" si="4"/>
        <v>38681742.48</v>
      </c>
      <c r="K39" s="193">
        <f t="shared" si="4"/>
        <v>40212248.933636285</v>
      </c>
      <c r="L39" s="193">
        <f t="shared" si="4"/>
        <v>37773881.5123347</v>
      </c>
    </row>
    <row r="40" s="21" customFormat="1" ht="11.25"/>
    <row r="41" spans="2:12" s="21" customFormat="1" ht="11.25">
      <c r="B41" s="99"/>
      <c r="C41" s="99"/>
      <c r="D41" s="99"/>
      <c r="E41" s="99"/>
      <c r="F41" s="99"/>
      <c r="G41" s="99"/>
      <c r="H41" s="99"/>
      <c r="I41" s="99"/>
      <c r="J41" s="99"/>
      <c r="L41" s="194"/>
    </row>
    <row r="42" spans="1:10" s="21" customFormat="1" ht="11.25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s="21" customFormat="1" ht="11.25">
      <c r="A43" s="99"/>
      <c r="B43" s="99"/>
      <c r="C43" s="99"/>
      <c r="D43" s="99"/>
      <c r="E43" s="99"/>
      <c r="F43" s="99"/>
      <c r="G43" s="99"/>
      <c r="H43" s="99"/>
      <c r="I43" s="99"/>
      <c r="J43" s="195"/>
    </row>
    <row r="44" spans="1:10" s="21" customFormat="1" ht="11.25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 s="21" customFormat="1" ht="11.25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6" spans="1:10" s="21" customFormat="1" ht="11.25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 s="21" customFormat="1" ht="11.25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 s="21" customFormat="1" ht="11.25">
      <c r="A48" s="99"/>
      <c r="B48" s="99"/>
      <c r="C48" s="99"/>
      <c r="D48" s="99"/>
      <c r="E48" s="99"/>
      <c r="F48" s="99"/>
      <c r="G48" s="99"/>
      <c r="H48" s="99"/>
      <c r="I48" s="99"/>
      <c r="J48" s="99"/>
    </row>
    <row r="49" spans="1:10" s="21" customFormat="1" ht="11.25">
      <c r="A49" s="99"/>
      <c r="B49" s="99"/>
      <c r="C49" s="99"/>
      <c r="D49" s="99"/>
      <c r="E49" s="99"/>
      <c r="F49" s="99"/>
      <c r="G49" s="99"/>
      <c r="H49" s="99"/>
      <c r="I49" s="99"/>
      <c r="J49" s="99"/>
    </row>
    <row r="50" spans="1:10" s="21" customFormat="1" ht="11.25">
      <c r="A50" s="99"/>
      <c r="B50" s="99"/>
      <c r="C50" s="99"/>
      <c r="D50" s="99"/>
      <c r="E50" s="99"/>
      <c r="F50" s="99"/>
      <c r="G50" s="99"/>
      <c r="H50" s="99"/>
      <c r="I50" s="99"/>
      <c r="J50" s="99"/>
    </row>
    <row r="51" spans="1:10" s="21" customFormat="1" ht="11.25">
      <c r="A51" s="99"/>
      <c r="B51" s="99"/>
      <c r="C51" s="99"/>
      <c r="D51" s="99"/>
      <c r="E51" s="99"/>
      <c r="F51" s="99"/>
      <c r="G51" s="99"/>
      <c r="H51" s="99"/>
      <c r="I51" s="99"/>
      <c r="J51" s="99"/>
    </row>
    <row r="52" spans="1:10" s="21" customFormat="1" ht="11.25">
      <c r="A52" s="99"/>
      <c r="B52" s="99"/>
      <c r="C52" s="99"/>
      <c r="D52" s="99"/>
      <c r="E52" s="99"/>
      <c r="F52" s="99"/>
      <c r="G52" s="99"/>
      <c r="H52" s="99"/>
      <c r="I52" s="99"/>
      <c r="J52" s="99"/>
    </row>
    <row r="53" spans="1:10" s="21" customFormat="1" ht="11.25">
      <c r="A53" s="99"/>
      <c r="B53" s="99"/>
      <c r="C53" s="99"/>
      <c r="D53" s="99"/>
      <c r="E53" s="99"/>
      <c r="F53" s="99"/>
      <c r="G53" s="99"/>
      <c r="H53" s="99"/>
      <c r="I53" s="99"/>
      <c r="J53" s="99"/>
    </row>
    <row r="54" spans="1:10" s="21" customFormat="1" ht="11.25">
      <c r="A54" s="99"/>
      <c r="B54" s="99"/>
      <c r="C54" s="99"/>
      <c r="D54" s="99"/>
      <c r="E54" s="99"/>
      <c r="F54" s="99"/>
      <c r="G54" s="99"/>
      <c r="H54" s="99"/>
      <c r="I54" s="99"/>
      <c r="J54" s="99"/>
    </row>
    <row r="55" spans="1:10" s="21" customFormat="1" ht="11.25">
      <c r="A55" s="99"/>
      <c r="B55" s="99"/>
      <c r="C55" s="99"/>
      <c r="D55" s="99"/>
      <c r="E55" s="99"/>
      <c r="F55" s="99"/>
      <c r="G55" s="99"/>
      <c r="H55" s="99"/>
      <c r="I55" s="99"/>
      <c r="J55" s="99"/>
    </row>
    <row r="56" spans="1:10" s="21" customFormat="1" ht="11.25">
      <c r="A56" s="99"/>
      <c r="B56" s="99"/>
      <c r="C56" s="99"/>
      <c r="D56" s="99"/>
      <c r="E56" s="99"/>
      <c r="F56" s="99"/>
      <c r="G56" s="99"/>
      <c r="H56" s="99"/>
      <c r="I56" s="99"/>
      <c r="J56" s="99"/>
    </row>
    <row r="57" spans="1:10" s="21" customFormat="1" ht="11.25">
      <c r="A57" s="99"/>
      <c r="B57" s="99"/>
      <c r="C57" s="99"/>
      <c r="D57" s="99"/>
      <c r="E57" s="99"/>
      <c r="F57" s="99"/>
      <c r="G57" s="99"/>
      <c r="H57" s="99"/>
      <c r="I57" s="99"/>
      <c r="J57" s="99"/>
    </row>
    <row r="58" spans="1:10" s="21" customFormat="1" ht="11.25">
      <c r="A58" s="99"/>
      <c r="B58" s="99"/>
      <c r="C58" s="99"/>
      <c r="D58" s="99"/>
      <c r="E58" s="99"/>
      <c r="F58" s="99"/>
      <c r="G58" s="99"/>
      <c r="H58" s="99"/>
      <c r="I58" s="99"/>
      <c r="J58" s="99"/>
    </row>
    <row r="59" spans="1:10" s="21" customFormat="1" ht="11.2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s="21" customFormat="1" ht="11.25">
      <c r="A60" s="99"/>
      <c r="B60" s="99"/>
      <c r="C60" s="99"/>
      <c r="D60" s="99"/>
      <c r="E60" s="99"/>
      <c r="F60" s="99"/>
      <c r="G60" s="99"/>
      <c r="H60" s="99"/>
      <c r="I60" s="99"/>
      <c r="J60" s="99"/>
    </row>
    <row r="61" spans="1:10" s="21" customFormat="1" ht="11.25">
      <c r="A61" s="99"/>
      <c r="B61" s="99"/>
      <c r="C61" s="99"/>
      <c r="D61" s="99"/>
      <c r="E61" s="99"/>
      <c r="F61" s="99"/>
      <c r="G61" s="99"/>
      <c r="H61" s="99"/>
      <c r="I61" s="99"/>
      <c r="J61" s="195"/>
    </row>
    <row r="62" spans="1:10" s="21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195"/>
    </row>
    <row r="63" spans="1:10" s="21" customFormat="1" ht="11.25">
      <c r="A63" s="99"/>
      <c r="B63" s="99"/>
      <c r="C63" s="99"/>
      <c r="D63" s="99"/>
      <c r="E63" s="99"/>
      <c r="F63" s="99"/>
      <c r="G63" s="99"/>
      <c r="H63" s="99"/>
      <c r="I63" s="99"/>
      <c r="J63" s="195"/>
    </row>
    <row r="64" spans="1:10" s="21" customFormat="1" ht="11.25">
      <c r="A64" s="99"/>
      <c r="B64" s="99"/>
      <c r="C64" s="99"/>
      <c r="D64" s="99"/>
      <c r="E64" s="99"/>
      <c r="F64" s="99"/>
      <c r="G64" s="99"/>
      <c r="H64" s="99"/>
      <c r="I64" s="99"/>
      <c r="J64" s="99"/>
    </row>
    <row r="65" spans="1:10" s="21" customFormat="1" ht="11.25">
      <c r="A65" s="99"/>
      <c r="B65" s="99"/>
      <c r="C65" s="99"/>
      <c r="D65" s="99"/>
      <c r="E65" s="99"/>
      <c r="F65" s="99"/>
      <c r="G65" s="99"/>
      <c r="H65" s="99"/>
      <c r="I65" s="99"/>
      <c r="J65" s="99"/>
    </row>
    <row r="66" spans="1:10" s="21" customFormat="1" ht="11.25">
      <c r="A66" s="99"/>
      <c r="B66" s="99"/>
      <c r="C66" s="99"/>
      <c r="D66" s="99"/>
      <c r="E66" s="99"/>
      <c r="F66" s="99"/>
      <c r="G66" s="99"/>
      <c r="H66" s="99"/>
      <c r="I66" s="99"/>
      <c r="J66" s="195"/>
    </row>
    <row r="67" spans="1:10" s="21" customFormat="1" ht="11.25">
      <c r="A67" s="99"/>
      <c r="B67" s="99"/>
      <c r="C67" s="99"/>
      <c r="D67" s="99"/>
      <c r="E67" s="99"/>
      <c r="F67" s="99"/>
      <c r="G67" s="99"/>
      <c r="H67" s="99"/>
      <c r="I67" s="99"/>
      <c r="J67" s="195"/>
    </row>
    <row r="68" spans="1:10" s="21" customFormat="1" ht="11.25">
      <c r="A68" s="99"/>
      <c r="B68" s="99"/>
      <c r="C68" s="99"/>
      <c r="D68" s="99"/>
      <c r="E68" s="99"/>
      <c r="F68" s="99"/>
      <c r="G68" s="99"/>
      <c r="H68" s="99"/>
      <c r="I68" s="99"/>
      <c r="J68" s="195"/>
    </row>
    <row r="69" spans="1:10" s="21" customFormat="1" ht="11.25">
      <c r="A69" s="99"/>
      <c r="B69" s="99"/>
      <c r="C69" s="99"/>
      <c r="D69" s="99"/>
      <c r="E69" s="99"/>
      <c r="F69" s="99"/>
      <c r="G69" s="99"/>
      <c r="H69" s="99"/>
      <c r="I69" s="99"/>
      <c r="J69" s="99"/>
    </row>
    <row r="70" spans="1:10" s="21" customFormat="1" ht="11.25">
      <c r="A70" s="99"/>
      <c r="B70" s="99"/>
      <c r="C70" s="99"/>
      <c r="D70" s="99"/>
      <c r="E70" s="99"/>
      <c r="F70" s="99"/>
      <c r="G70" s="99"/>
      <c r="H70" s="99"/>
      <c r="I70" s="99"/>
      <c r="J70" s="99"/>
    </row>
    <row r="71" spans="1:10" s="21" customFormat="1" ht="11.25">
      <c r="A71" s="99"/>
      <c r="B71" s="99"/>
      <c r="C71" s="99"/>
      <c r="D71" s="99"/>
      <c r="E71" s="99"/>
      <c r="F71" s="99"/>
      <c r="G71" s="99"/>
      <c r="H71" s="99"/>
      <c r="I71" s="99"/>
      <c r="J71" s="195"/>
    </row>
    <row r="72" spans="1:10" s="21" customFormat="1" ht="11.25">
      <c r="A72" s="99"/>
      <c r="B72" s="99"/>
      <c r="C72" s="99"/>
      <c r="D72" s="99"/>
      <c r="E72" s="99"/>
      <c r="F72" s="99"/>
      <c r="G72" s="99"/>
      <c r="H72" s="99"/>
      <c r="I72" s="99"/>
      <c r="J72" s="195"/>
    </row>
    <row r="73" spans="1:10" s="21" customFormat="1" ht="11.25">
      <c r="A73" s="99"/>
      <c r="B73" s="99"/>
      <c r="C73" s="99"/>
      <c r="D73" s="99"/>
      <c r="E73" s="99"/>
      <c r="F73" s="99"/>
      <c r="G73" s="99"/>
      <c r="H73" s="99"/>
      <c r="I73" s="99"/>
      <c r="J73" s="195"/>
    </row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pans="2:9" s="21" customFormat="1" ht="11.25">
      <c r="B80" s="10"/>
      <c r="C80" s="10"/>
      <c r="F80" s="196"/>
      <c r="G80" s="196"/>
      <c r="H80" s="196"/>
      <c r="I80" s="196"/>
    </row>
    <row r="81" s="21" customFormat="1" ht="11.25">
      <c r="B81" s="10"/>
    </row>
    <row r="82" s="21" customFormat="1" ht="4.5" customHeight="1">
      <c r="B82" s="10"/>
    </row>
    <row r="83" spans="1:10" ht="11.25">
      <c r="A83" s="21"/>
      <c r="J83" s="21"/>
    </row>
    <row r="84" spans="1:10" ht="4.5" customHeight="1">
      <c r="A84" s="21"/>
      <c r="J84" s="21"/>
    </row>
    <row r="85" spans="1:10" ht="11.25">
      <c r="A85" s="21"/>
      <c r="J85" s="21"/>
    </row>
    <row r="86" spans="1:10" ht="4.5" customHeight="1">
      <c r="A86" s="21"/>
      <c r="J86" s="21"/>
    </row>
    <row r="87" spans="1:10" ht="11.25">
      <c r="A87" s="21"/>
      <c r="J87" s="21"/>
    </row>
    <row r="88" spans="1:10" ht="4.5" customHeight="1">
      <c r="A88" s="21"/>
      <c r="J88" s="21"/>
    </row>
    <row r="89" spans="1:10" ht="11.25">
      <c r="A89" s="21"/>
      <c r="J89" s="21"/>
    </row>
    <row r="90" spans="1:10" ht="11.25">
      <c r="A90" s="21"/>
      <c r="J90" s="21"/>
    </row>
    <row r="91" spans="1:10" ht="11.25">
      <c r="A91" s="21"/>
      <c r="J91" s="21"/>
    </row>
    <row r="92" spans="1:10" ht="4.5" customHeight="1">
      <c r="A92" s="21"/>
      <c r="J92" s="21"/>
    </row>
    <row r="96" ht="4.5" customHeight="1"/>
    <row r="101" ht="11.25">
      <c r="E101" s="197"/>
    </row>
    <row r="102" ht="11.25">
      <c r="E102" s="197"/>
    </row>
    <row r="103" ht="11.25">
      <c r="E103" s="197"/>
    </row>
    <row r="109" ht="4.5" customHeight="1"/>
    <row r="113" ht="4.5" customHeight="1"/>
    <row r="114" ht="11.25">
      <c r="B114" s="70"/>
    </row>
  </sheetData>
  <mergeCells count="6">
    <mergeCell ref="B3:J3"/>
    <mergeCell ref="A6:A8"/>
    <mergeCell ref="B6:I6"/>
    <mergeCell ref="J6:J8"/>
    <mergeCell ref="B7:E7"/>
    <mergeCell ref="F7:I7"/>
  </mergeCells>
  <hyperlinks>
    <hyperlink ref="K9" r:id="rId1" display="=@npv(L8,K9)"/>
    <hyperlink ref="K10" r:id="rId2" display="=@npv(L8,K9)"/>
    <hyperlink ref="L9" r:id="rId3" display="=@npv(L8,K9)"/>
    <hyperlink ref="L10" r:id="rId4" display="=@npv(L8,K9)"/>
    <hyperlink ref="L11:L13" r:id="rId5" display="=@npv(L8,K9)"/>
    <hyperlink ref="L14:L38" r:id="rId6" display="=@npv(L8,K9)"/>
  </hyperlinks>
  <printOptions/>
  <pageMargins left="0.75" right="0.75" top="1" bottom="1" header="0.5" footer="0.5"/>
  <pageSetup fitToHeight="1" fitToWidth="1" horizontalDpi="1200" verticalDpi="1200" orientation="portrait" scale="56" r:id="rId7"/>
  <headerFooter alignWithMargins="0">
    <oddFooter>&amp;L&amp;"Braggadocio,Regular"CSP&amp;X2&amp;RPage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8" style="10" customWidth="1"/>
    <col min="2" max="2" width="13.66015625" style="21" customWidth="1"/>
    <col min="3" max="3" width="13.66015625" style="21" bestFit="1" customWidth="1"/>
    <col min="4" max="4" width="15.33203125" style="21" customWidth="1"/>
    <col min="5" max="5" width="13.66015625" style="21" bestFit="1" customWidth="1"/>
    <col min="6" max="9" width="13.66015625" style="21" customWidth="1"/>
    <col min="10" max="10" width="16.66015625" style="10" customWidth="1"/>
    <col min="11" max="12" width="14.83203125" style="10" bestFit="1" customWidth="1"/>
    <col min="13" max="155" width="12.83203125" style="10" bestFit="1" customWidth="1"/>
    <col min="156" max="156" width="14" style="10" bestFit="1" customWidth="1"/>
    <col min="157" max="16384" width="9.33203125" style="10" customWidth="1"/>
  </cols>
  <sheetData>
    <row r="1" spans="1:10" s="21" customFormat="1" ht="12">
      <c r="A1" s="87"/>
      <c r="B1" s="181" t="s">
        <v>273</v>
      </c>
      <c r="C1" s="182"/>
      <c r="D1" s="182"/>
      <c r="E1" s="182"/>
      <c r="F1" s="182"/>
      <c r="G1" s="182"/>
      <c r="H1" s="182"/>
      <c r="I1" s="182"/>
      <c r="J1" s="182"/>
    </row>
    <row r="2" spans="2:10" s="21" customFormat="1" ht="12">
      <c r="B2" s="181" t="s">
        <v>192</v>
      </c>
      <c r="C2" s="182"/>
      <c r="D2" s="182"/>
      <c r="E2" s="182"/>
      <c r="F2" s="182"/>
      <c r="G2" s="182"/>
      <c r="H2" s="182"/>
      <c r="I2" s="182"/>
      <c r="J2" s="182"/>
    </row>
    <row r="3" spans="2:10" s="21" customFormat="1" ht="12">
      <c r="B3" s="351" t="s">
        <v>277</v>
      </c>
      <c r="C3" s="352"/>
      <c r="D3" s="352"/>
      <c r="E3" s="352"/>
      <c r="F3" s="352"/>
      <c r="G3" s="352"/>
      <c r="H3" s="352"/>
      <c r="I3" s="352"/>
      <c r="J3" s="352"/>
    </row>
    <row r="4" spans="2:10" s="21" customFormat="1" ht="12">
      <c r="B4" s="181"/>
      <c r="C4" s="182"/>
      <c r="D4" s="182"/>
      <c r="E4" s="182"/>
      <c r="F4" s="182"/>
      <c r="G4" s="182"/>
      <c r="H4" s="182"/>
      <c r="I4" s="182"/>
      <c r="J4" s="182"/>
    </row>
    <row r="5" s="21" customFormat="1" ht="11.25"/>
    <row r="6" spans="1:12" ht="11.25">
      <c r="A6" s="353" t="s">
        <v>193</v>
      </c>
      <c r="B6" s="363" t="s">
        <v>194</v>
      </c>
      <c r="C6" s="363"/>
      <c r="D6" s="363"/>
      <c r="E6" s="363"/>
      <c r="F6" s="364"/>
      <c r="G6" s="364"/>
      <c r="H6" s="364"/>
      <c r="I6" s="364"/>
      <c r="J6" s="365" t="s">
        <v>195</v>
      </c>
      <c r="K6" s="292" t="s">
        <v>196</v>
      </c>
      <c r="L6" s="293" t="s">
        <v>197</v>
      </c>
    </row>
    <row r="7" spans="1:12" ht="11.25">
      <c r="A7" s="329"/>
      <c r="B7" s="364" t="s">
        <v>198</v>
      </c>
      <c r="C7" s="364"/>
      <c r="D7" s="364"/>
      <c r="E7" s="364"/>
      <c r="F7" s="368" t="s">
        <v>191</v>
      </c>
      <c r="G7" s="369"/>
      <c r="H7" s="369"/>
      <c r="I7" s="370"/>
      <c r="J7" s="366"/>
      <c r="K7" s="294" t="s">
        <v>199</v>
      </c>
      <c r="L7" s="295" t="s">
        <v>200</v>
      </c>
    </row>
    <row r="8" spans="1:12" ht="33.75">
      <c r="A8" s="354"/>
      <c r="B8" s="291" t="s">
        <v>204</v>
      </c>
      <c r="C8" s="291" t="s">
        <v>205</v>
      </c>
      <c r="D8" s="291" t="s">
        <v>54</v>
      </c>
      <c r="E8" s="291" t="s">
        <v>201</v>
      </c>
      <c r="F8" s="291" t="s">
        <v>206</v>
      </c>
      <c r="G8" s="291" t="s">
        <v>207</v>
      </c>
      <c r="H8" s="291" t="s">
        <v>212</v>
      </c>
      <c r="I8" s="291" t="s">
        <v>101</v>
      </c>
      <c r="J8" s="367"/>
      <c r="K8" s="296">
        <v>0.03</v>
      </c>
      <c r="L8" s="297">
        <v>0.05</v>
      </c>
    </row>
    <row r="9" spans="1:12" ht="11.25">
      <c r="A9" s="190">
        <v>0</v>
      </c>
      <c r="B9" s="266">
        <f>'Capital Cost Estimate'!$AA$162/3</f>
        <v>397199.9633333333</v>
      </c>
      <c r="C9" s="266"/>
      <c r="D9" s="266"/>
      <c r="E9" s="266">
        <f>'Capital Cost Estimate'!$AA$175</f>
        <v>24820625</v>
      </c>
      <c r="F9" s="266"/>
      <c r="G9" s="266">
        <f>'Operating Cost Estimate'!$N$63/50</f>
        <v>61452.47</v>
      </c>
      <c r="H9" s="266">
        <f>('Operating Cost Estimate'!$N$65*(4/212))+('Operating Cost Estimate'!$N$66/11)</f>
        <v>88746.59802744424</v>
      </c>
      <c r="I9" s="267"/>
      <c r="J9" s="268">
        <f aca="true" t="shared" si="0" ref="J9:J72">SUM(B9:I9)</f>
        <v>25368024.03136078</v>
      </c>
      <c r="K9" s="269">
        <f>($J9*((1+K$8)^A9))</f>
        <v>25368024.03136078</v>
      </c>
      <c r="L9" s="270">
        <f aca="true" t="shared" si="1" ref="L9:L72">J9*((1+K$8-L$8)^A9)</f>
        <v>25368024.03136078</v>
      </c>
    </row>
    <row r="10" spans="1:12" ht="11.25">
      <c r="A10" s="190">
        <f>1+A9</f>
        <v>1</v>
      </c>
      <c r="B10" s="266">
        <f>'Capital Cost Estimate'!$AA$162/3</f>
        <v>397199.9633333333</v>
      </c>
      <c r="C10" s="266"/>
      <c r="D10" s="266"/>
      <c r="E10" s="266"/>
      <c r="F10" s="266">
        <f>'Operating Cost Estimate'!$N$62/50</f>
        <v>729366.24</v>
      </c>
      <c r="G10" s="266">
        <f>'Operating Cost Estimate'!$N$63/50</f>
        <v>61452.47</v>
      </c>
      <c r="H10" s="266">
        <f>('Operating Cost Estimate'!$N$65*(4/212))</f>
        <v>75475.07075471697</v>
      </c>
      <c r="I10" s="267"/>
      <c r="J10" s="271">
        <f t="shared" si="0"/>
        <v>1263493.7440880502</v>
      </c>
      <c r="K10" s="270">
        <f aca="true" t="shared" si="2" ref="K10:K71">(J10*((1+K$8)^A10)-1)</f>
        <v>1301397.5564106917</v>
      </c>
      <c r="L10" s="270">
        <f t="shared" si="1"/>
        <v>1238223.8692062893</v>
      </c>
    </row>
    <row r="11" spans="1:12" ht="11.25">
      <c r="A11" s="190">
        <f aca="true" t="shared" si="3" ref="A11:A74">1+A10</f>
        <v>2</v>
      </c>
      <c r="B11" s="266">
        <f>'Capital Cost Estimate'!$AA$162/3</f>
        <v>397199.9633333333</v>
      </c>
      <c r="C11" s="266"/>
      <c r="D11" s="266"/>
      <c r="E11" s="266"/>
      <c r="F11" s="266">
        <f>'Operating Cost Estimate'!$N$62/50</f>
        <v>729366.24</v>
      </c>
      <c r="G11" s="266">
        <f>'Operating Cost Estimate'!$N$63/50</f>
        <v>61452.47</v>
      </c>
      <c r="H11" s="266">
        <f>('Operating Cost Estimate'!$N$65*(4/212))</f>
        <v>75475.07075471697</v>
      </c>
      <c r="I11" s="267"/>
      <c r="J11" s="271">
        <f t="shared" si="0"/>
        <v>1263493.7440880502</v>
      </c>
      <c r="K11" s="270">
        <f t="shared" si="2"/>
        <v>1340439.5131030125</v>
      </c>
      <c r="L11" s="270">
        <f t="shared" si="1"/>
        <v>1213459.3918221632</v>
      </c>
    </row>
    <row r="12" spans="1:12" ht="11.25">
      <c r="A12" s="190">
        <f t="shared" si="3"/>
        <v>3</v>
      </c>
      <c r="B12" s="266"/>
      <c r="C12" s="266">
        <f>'Capital Cost Estimate'!$AA$170/2</f>
        <v>4098338.5650000004</v>
      </c>
      <c r="D12" s="266"/>
      <c r="E12" s="272"/>
      <c r="F12" s="266">
        <f>'Operating Cost Estimate'!$N$62/50</f>
        <v>729366.24</v>
      </c>
      <c r="G12" s="266">
        <f>'Operating Cost Estimate'!$N$63/50</f>
        <v>61452.47</v>
      </c>
      <c r="H12" s="266">
        <f>('Operating Cost Estimate'!$N$65*(4/212))</f>
        <v>75475.07075471697</v>
      </c>
      <c r="I12" s="266"/>
      <c r="J12" s="271">
        <f t="shared" si="0"/>
        <v>4964632.3457547175</v>
      </c>
      <c r="K12" s="270">
        <f t="shared" si="2"/>
        <v>5424986.809279515</v>
      </c>
      <c r="L12" s="270">
        <f t="shared" si="1"/>
        <v>4672672.2467655735</v>
      </c>
    </row>
    <row r="13" spans="1:12" ht="11.25">
      <c r="A13" s="190">
        <f t="shared" si="3"/>
        <v>4</v>
      </c>
      <c r="B13" s="266"/>
      <c r="C13" s="266">
        <f>'Capital Cost Estimate'!$AA$170/2</f>
        <v>4098338.5650000004</v>
      </c>
      <c r="D13" s="266"/>
      <c r="E13" s="266"/>
      <c r="F13" s="266">
        <f>'Operating Cost Estimate'!$N$62/50</f>
        <v>729366.24</v>
      </c>
      <c r="G13" s="266">
        <f>'Operating Cost Estimate'!$N$63/50</f>
        <v>61452.47</v>
      </c>
      <c r="H13" s="266">
        <f>('Operating Cost Estimate'!$N$65*(4/212))+('Operating Cost Estimate'!$N$66/11)+('Operating Cost Estimate'!$N$67/10)</f>
        <v>119859.99702744425</v>
      </c>
      <c r="I13" s="266"/>
      <c r="J13" s="271">
        <f t="shared" si="0"/>
        <v>5009017.272027445</v>
      </c>
      <c r="K13" s="270">
        <f t="shared" si="2"/>
        <v>5637692.069109055</v>
      </c>
      <c r="L13" s="270">
        <f t="shared" si="1"/>
        <v>4620158.044608173</v>
      </c>
    </row>
    <row r="14" spans="1:12" ht="11.25">
      <c r="A14" s="190">
        <f t="shared" si="3"/>
        <v>5</v>
      </c>
      <c r="B14" s="266"/>
      <c r="C14" s="273"/>
      <c r="D14" s="266"/>
      <c r="E14" s="266"/>
      <c r="F14" s="266">
        <f>'Operating Cost Estimate'!$N$62/50</f>
        <v>729366.24</v>
      </c>
      <c r="G14" s="266">
        <f>'Operating Cost Estimate'!$N$63/50</f>
        <v>61452.47</v>
      </c>
      <c r="H14" s="266">
        <f>('Operating Cost Estimate'!$N$65*(4/212))</f>
        <v>75475.07075471697</v>
      </c>
      <c r="I14" s="266"/>
      <c r="J14" s="271">
        <f t="shared" si="0"/>
        <v>866293.780754717</v>
      </c>
      <c r="K14" s="270">
        <f t="shared" si="2"/>
        <v>1004270.9207562715</v>
      </c>
      <c r="L14" s="270">
        <f t="shared" si="1"/>
        <v>783060.9645626881</v>
      </c>
    </row>
    <row r="15" spans="1:12" ht="11.25">
      <c r="A15" s="190">
        <f t="shared" si="3"/>
        <v>6</v>
      </c>
      <c r="B15" s="266"/>
      <c r="C15" s="266"/>
      <c r="D15" s="266"/>
      <c r="E15" s="266"/>
      <c r="F15" s="266">
        <f>'Operating Cost Estimate'!$N$62/50</f>
        <v>729366.24</v>
      </c>
      <c r="G15" s="266">
        <f>'Operating Cost Estimate'!$N$63/50</f>
        <v>61452.47</v>
      </c>
      <c r="H15" s="266">
        <f>('Operating Cost Estimate'!$N$65*(4/212))</f>
        <v>75475.07075471697</v>
      </c>
      <c r="I15" s="266"/>
      <c r="J15" s="271">
        <f t="shared" si="0"/>
        <v>866293.780754717</v>
      </c>
      <c r="K15" s="270">
        <f t="shared" si="2"/>
        <v>1034399.0783789597</v>
      </c>
      <c r="L15" s="270">
        <f t="shared" si="1"/>
        <v>767399.7452714343</v>
      </c>
    </row>
    <row r="16" spans="1:12" ht="11.25">
      <c r="A16" s="190">
        <f t="shared" si="3"/>
        <v>7</v>
      </c>
      <c r="B16" s="266"/>
      <c r="C16" s="266"/>
      <c r="D16" s="266"/>
      <c r="E16" s="266"/>
      <c r="F16" s="266">
        <f>'Operating Cost Estimate'!$N$62/50</f>
        <v>729366.24</v>
      </c>
      <c r="G16" s="266">
        <f>'Operating Cost Estimate'!$N$63/50</f>
        <v>61452.47</v>
      </c>
      <c r="H16" s="266">
        <f>('Operating Cost Estimate'!$N$65*(4/212))</f>
        <v>75475.07075471697</v>
      </c>
      <c r="I16" s="266"/>
      <c r="J16" s="271">
        <f t="shared" si="0"/>
        <v>866293.780754717</v>
      </c>
      <c r="K16" s="270">
        <f t="shared" si="2"/>
        <v>1065431.0807303286</v>
      </c>
      <c r="L16" s="270">
        <f t="shared" si="1"/>
        <v>752051.7503660056</v>
      </c>
    </row>
    <row r="17" spans="1:12" ht="11.25">
      <c r="A17" s="190">
        <f t="shared" si="3"/>
        <v>8</v>
      </c>
      <c r="B17" s="266"/>
      <c r="C17" s="266"/>
      <c r="D17" s="266"/>
      <c r="E17" s="266"/>
      <c r="F17" s="266">
        <f>'Operating Cost Estimate'!$N$62/50</f>
        <v>729366.24</v>
      </c>
      <c r="G17" s="266">
        <f>'Operating Cost Estimate'!$N$63/50</f>
        <v>61452.47</v>
      </c>
      <c r="H17" s="266">
        <f>('Operating Cost Estimate'!$N$65*(4/212))</f>
        <v>75475.07075471697</v>
      </c>
      <c r="I17" s="266"/>
      <c r="J17" s="271">
        <f t="shared" si="0"/>
        <v>866293.780754717</v>
      </c>
      <c r="K17" s="270">
        <f t="shared" si="2"/>
        <v>1097394.0431522382</v>
      </c>
      <c r="L17" s="270">
        <f t="shared" si="1"/>
        <v>737010.7153586855</v>
      </c>
    </row>
    <row r="18" spans="1:12" ht="11.25">
      <c r="A18" s="190">
        <f t="shared" si="3"/>
        <v>9</v>
      </c>
      <c r="B18" s="266"/>
      <c r="C18" s="266"/>
      <c r="D18" s="266"/>
      <c r="E18" s="266"/>
      <c r="F18" s="266">
        <f>'Operating Cost Estimate'!$N$62/50</f>
        <v>729366.24</v>
      </c>
      <c r="G18" s="266">
        <f>'Operating Cost Estimate'!$N$63/50</f>
        <v>61452.47</v>
      </c>
      <c r="H18" s="266">
        <f>('Operating Cost Estimate'!$N$65*(4/212))+('Operating Cost Estimate'!$N$66/11)+('Operating Cost Estimate'!$N$67/10)</f>
        <v>119859.99702744425</v>
      </c>
      <c r="I18" s="266"/>
      <c r="J18" s="271">
        <f t="shared" si="0"/>
        <v>910678.7070274442</v>
      </c>
      <c r="K18" s="270">
        <f t="shared" si="2"/>
        <v>1188228.156013698</v>
      </c>
      <c r="L18" s="270">
        <f t="shared" si="1"/>
        <v>759276.3340037097</v>
      </c>
    </row>
    <row r="19" spans="1:12" ht="11.25">
      <c r="A19" s="190">
        <f t="shared" si="3"/>
        <v>10</v>
      </c>
      <c r="B19" s="266"/>
      <c r="C19" s="266"/>
      <c r="D19" s="266"/>
      <c r="E19" s="266"/>
      <c r="F19" s="266">
        <f>'Operating Cost Estimate'!$N$62/50</f>
        <v>729366.24</v>
      </c>
      <c r="G19" s="266">
        <f>'Operating Cost Estimate'!$N$63/50</f>
        <v>61452.47</v>
      </c>
      <c r="H19" s="266">
        <f>('Operating Cost Estimate'!$N$65*(4/212))</f>
        <v>75475.07075471697</v>
      </c>
      <c r="I19" s="266">
        <f>'Operating Cost Estimate'!N51</f>
        <v>4084375</v>
      </c>
      <c r="J19" s="271">
        <f t="shared" si="0"/>
        <v>4950668.780754717</v>
      </c>
      <c r="K19" s="270">
        <f t="shared" si="2"/>
        <v>6653283.863163857</v>
      </c>
      <c r="L19" s="270">
        <f t="shared" si="1"/>
        <v>4045056.8366618045</v>
      </c>
    </row>
    <row r="20" spans="1:12" ht="11.25">
      <c r="A20" s="190">
        <f t="shared" si="3"/>
        <v>11</v>
      </c>
      <c r="B20" s="266"/>
      <c r="C20" s="266"/>
      <c r="D20" s="266"/>
      <c r="E20" s="266"/>
      <c r="F20" s="266">
        <f>'Operating Cost Estimate'!$N$62/50</f>
        <v>729366.24</v>
      </c>
      <c r="G20" s="266">
        <f>'Operating Cost Estimate'!$N$63/50</f>
        <v>61452.47</v>
      </c>
      <c r="H20" s="266">
        <f>('Operating Cost Estimate'!$N$65*(4/212))</f>
        <v>75475.07075471697</v>
      </c>
      <c r="I20" s="266"/>
      <c r="J20" s="271">
        <f t="shared" si="0"/>
        <v>866293.780754717</v>
      </c>
      <c r="K20" s="270">
        <f t="shared" si="2"/>
        <v>1199152.193318616</v>
      </c>
      <c r="L20" s="270">
        <f t="shared" si="1"/>
        <v>693668.5892098718</v>
      </c>
    </row>
    <row r="21" spans="1:12" ht="11.25">
      <c r="A21" s="190">
        <f t="shared" si="3"/>
        <v>12</v>
      </c>
      <c r="B21" s="266"/>
      <c r="C21" s="266"/>
      <c r="D21" s="266"/>
      <c r="E21" s="266"/>
      <c r="F21" s="266">
        <f>'Operating Cost Estimate'!$N$62/50</f>
        <v>729366.24</v>
      </c>
      <c r="G21" s="266">
        <f>'Operating Cost Estimate'!$N$63/50</f>
        <v>61452.47</v>
      </c>
      <c r="H21" s="266">
        <f>('Operating Cost Estimate'!$N$65*(4/212))</f>
        <v>75475.07075471697</v>
      </c>
      <c r="I21" s="266"/>
      <c r="J21" s="271">
        <f t="shared" si="0"/>
        <v>866293.780754717</v>
      </c>
      <c r="K21" s="270">
        <f t="shared" si="2"/>
        <v>1235126.7891181742</v>
      </c>
      <c r="L21" s="270">
        <f t="shared" si="1"/>
        <v>679795.2174256744</v>
      </c>
    </row>
    <row r="22" spans="1:12" ht="11.25">
      <c r="A22" s="190">
        <f t="shared" si="3"/>
        <v>13</v>
      </c>
      <c r="B22" s="266"/>
      <c r="C22" s="266"/>
      <c r="D22" s="266"/>
      <c r="E22" s="266"/>
      <c r="F22" s="266">
        <f>'Operating Cost Estimate'!$N$62/50</f>
        <v>729366.24</v>
      </c>
      <c r="G22" s="266">
        <f>'Operating Cost Estimate'!$N$63/50</f>
        <v>61452.47</v>
      </c>
      <c r="H22" s="266">
        <f>('Operating Cost Estimate'!$N$65*(4/212))</f>
        <v>75475.07075471697</v>
      </c>
      <c r="I22" s="266"/>
      <c r="J22" s="271">
        <f t="shared" si="0"/>
        <v>866293.780754717</v>
      </c>
      <c r="K22" s="270">
        <f t="shared" si="2"/>
        <v>1272180.6227917194</v>
      </c>
      <c r="L22" s="270">
        <f t="shared" si="1"/>
        <v>666199.3130771609</v>
      </c>
    </row>
    <row r="23" spans="1:12" ht="11.25">
      <c r="A23" s="190">
        <f t="shared" si="3"/>
        <v>14</v>
      </c>
      <c r="B23" s="266"/>
      <c r="C23" s="266"/>
      <c r="D23" s="266"/>
      <c r="E23" s="266"/>
      <c r="F23" s="266">
        <f>'Operating Cost Estimate'!$N$62/50</f>
        <v>729366.24</v>
      </c>
      <c r="G23" s="266">
        <f>'Operating Cost Estimate'!$N$63/50</f>
        <v>61452.47</v>
      </c>
      <c r="H23" s="266">
        <f>('Operating Cost Estimate'!$N$65*(4/212))+('Operating Cost Estimate'!$N$66/11)+('Operating Cost Estimate'!$N$67/10)</f>
        <v>119859.99702744425</v>
      </c>
      <c r="I23" s="266"/>
      <c r="J23" s="271">
        <f t="shared" si="0"/>
        <v>910678.7070274442</v>
      </c>
      <c r="K23" s="270">
        <f t="shared" si="2"/>
        <v>1377482.25489405</v>
      </c>
      <c r="L23" s="270">
        <f t="shared" si="1"/>
        <v>686325.6688240161</v>
      </c>
    </row>
    <row r="24" spans="1:12" ht="11.25">
      <c r="A24" s="190">
        <f t="shared" si="3"/>
        <v>15</v>
      </c>
      <c r="B24" s="266"/>
      <c r="C24" s="266"/>
      <c r="D24" s="266"/>
      <c r="E24" s="266"/>
      <c r="F24" s="266">
        <f>'Operating Cost Estimate'!$N$62/50</f>
        <v>729366.24</v>
      </c>
      <c r="G24" s="266">
        <f>'Operating Cost Estimate'!$N$63/50</f>
        <v>61452.47</v>
      </c>
      <c r="H24" s="266">
        <f>('Operating Cost Estimate'!$N$65*(4/212))</f>
        <v>75475.07075471697</v>
      </c>
      <c r="I24" s="266"/>
      <c r="J24" s="271">
        <f t="shared" si="0"/>
        <v>866293.780754717</v>
      </c>
      <c r="K24" s="270">
        <f t="shared" si="2"/>
        <v>1349656.4836197353</v>
      </c>
      <c r="L24" s="270">
        <f t="shared" si="1"/>
        <v>639817.8202793052</v>
      </c>
    </row>
    <row r="25" spans="1:12" ht="11.25">
      <c r="A25" s="190">
        <f t="shared" si="3"/>
        <v>16</v>
      </c>
      <c r="B25" s="266"/>
      <c r="C25" s="266"/>
      <c r="D25" s="266"/>
      <c r="E25" s="266"/>
      <c r="F25" s="266">
        <f>'Operating Cost Estimate'!$N$62/50</f>
        <v>729366.24</v>
      </c>
      <c r="G25" s="266">
        <f>'Operating Cost Estimate'!$N$63/50</f>
        <v>61452.47</v>
      </c>
      <c r="H25" s="266">
        <f>('Operating Cost Estimate'!$N$65*(4/212))</f>
        <v>75475.07075471697</v>
      </c>
      <c r="I25" s="266"/>
      <c r="J25" s="271">
        <f t="shared" si="0"/>
        <v>866293.780754717</v>
      </c>
      <c r="K25" s="270">
        <f t="shared" si="2"/>
        <v>1390146.2081283273</v>
      </c>
      <c r="L25" s="270">
        <f t="shared" si="1"/>
        <v>627021.4638737191</v>
      </c>
    </row>
    <row r="26" spans="1:12" ht="11.25">
      <c r="A26" s="190">
        <f t="shared" si="3"/>
        <v>17</v>
      </c>
      <c r="B26" s="266"/>
      <c r="C26" s="266"/>
      <c r="D26" s="266"/>
      <c r="E26" s="266"/>
      <c r="F26" s="266">
        <f>'Operating Cost Estimate'!$N$62/50</f>
        <v>729366.24</v>
      </c>
      <c r="G26" s="266">
        <f>'Operating Cost Estimate'!$N$63/50</f>
        <v>61452.47</v>
      </c>
      <c r="H26" s="266">
        <f>('Operating Cost Estimate'!$N$65*(4/212))</f>
        <v>75475.07075471697</v>
      </c>
      <c r="I26" s="266"/>
      <c r="J26" s="271">
        <f t="shared" si="0"/>
        <v>866293.780754717</v>
      </c>
      <c r="K26" s="270">
        <f t="shared" si="2"/>
        <v>1431850.624372177</v>
      </c>
      <c r="L26" s="270">
        <f t="shared" si="1"/>
        <v>614481.0345962448</v>
      </c>
    </row>
    <row r="27" spans="1:12" ht="11.25">
      <c r="A27" s="190">
        <f t="shared" si="3"/>
        <v>18</v>
      </c>
      <c r="B27" s="266"/>
      <c r="C27" s="266"/>
      <c r="D27" s="266"/>
      <c r="E27" s="266"/>
      <c r="F27" s="266">
        <f>'Operating Cost Estimate'!$N$62/50</f>
        <v>729366.24</v>
      </c>
      <c r="G27" s="266">
        <f>'Operating Cost Estimate'!$N$63/50</f>
        <v>61452.47</v>
      </c>
      <c r="H27" s="266">
        <f>('Operating Cost Estimate'!$N$65*(4/212))</f>
        <v>75475.07075471697</v>
      </c>
      <c r="I27" s="266"/>
      <c r="J27" s="271">
        <f t="shared" si="0"/>
        <v>866293.780754717</v>
      </c>
      <c r="K27" s="270">
        <f t="shared" si="2"/>
        <v>1474806.1731033423</v>
      </c>
      <c r="L27" s="270">
        <f t="shared" si="1"/>
        <v>602191.4139043199</v>
      </c>
    </row>
    <row r="28" spans="1:12" ht="11.25">
      <c r="A28" s="190">
        <f t="shared" si="3"/>
        <v>19</v>
      </c>
      <c r="B28" s="266"/>
      <c r="C28" s="266"/>
      <c r="D28" s="266"/>
      <c r="E28" s="266"/>
      <c r="F28" s="266">
        <f>'Operating Cost Estimate'!$N$62/50</f>
        <v>729366.24</v>
      </c>
      <c r="G28" s="266">
        <f>'Operating Cost Estimate'!$N$63/50</f>
        <v>61452.47</v>
      </c>
      <c r="H28" s="266">
        <f>('Operating Cost Estimate'!$N$65*(4/212))+('Operating Cost Estimate'!$N$66/11)+('Operating Cost Estimate'!$N$67/10)</f>
        <v>119859.99702744425</v>
      </c>
      <c r="I28" s="266"/>
      <c r="J28" s="271">
        <f t="shared" si="0"/>
        <v>910678.7070274442</v>
      </c>
      <c r="K28" s="270">
        <f t="shared" si="2"/>
        <v>1596879.6251810505</v>
      </c>
      <c r="L28" s="270">
        <f t="shared" si="1"/>
        <v>620384.0454276975</v>
      </c>
    </row>
    <row r="29" spans="1:12" ht="11.25">
      <c r="A29" s="190">
        <f t="shared" si="3"/>
        <v>20</v>
      </c>
      <c r="B29" s="266"/>
      <c r="C29" s="266"/>
      <c r="D29" s="266"/>
      <c r="E29" s="266"/>
      <c r="F29" s="266">
        <f>'Operating Cost Estimate'!$N$62/50</f>
        <v>729366.24</v>
      </c>
      <c r="G29" s="266">
        <f>'Operating Cost Estimate'!$N$63/50</f>
        <v>61452.47</v>
      </c>
      <c r="H29" s="266">
        <f>('Operating Cost Estimate'!$N$65*(4/212))</f>
        <v>75475.07075471697</v>
      </c>
      <c r="I29" s="266">
        <f>'Operating Cost Estimate'!N52</f>
        <v>4084375</v>
      </c>
      <c r="J29" s="271">
        <f t="shared" si="0"/>
        <v>4950668.780754717</v>
      </c>
      <c r="K29" s="270">
        <f t="shared" si="2"/>
        <v>8941457.50404822</v>
      </c>
      <c r="L29" s="270">
        <f t="shared" si="1"/>
        <v>3305105.9435509215</v>
      </c>
    </row>
    <row r="30" spans="1:12" ht="11.25">
      <c r="A30" s="190">
        <f t="shared" si="3"/>
        <v>21</v>
      </c>
      <c r="B30" s="266"/>
      <c r="C30" s="266"/>
      <c r="D30" s="266"/>
      <c r="E30" s="266"/>
      <c r="F30" s="266">
        <f>'Operating Cost Estimate'!$N$62/50</f>
        <v>729366.24</v>
      </c>
      <c r="G30" s="266">
        <f>'Operating Cost Estimate'!$N$63/50</f>
        <v>61452.47</v>
      </c>
      <c r="H30" s="266">
        <f>('Operating Cost Estimate'!$N$65*(4/212))</f>
        <v>75475.07075471697</v>
      </c>
      <c r="I30" s="266"/>
      <c r="J30" s="271">
        <f t="shared" si="0"/>
        <v>866293.780754717</v>
      </c>
      <c r="K30" s="270">
        <f t="shared" si="2"/>
        <v>1611560.6178436957</v>
      </c>
      <c r="L30" s="270">
        <f t="shared" si="1"/>
        <v>566777.7412354345</v>
      </c>
    </row>
    <row r="31" spans="1:12" ht="11.25">
      <c r="A31" s="190">
        <f t="shared" si="3"/>
        <v>22</v>
      </c>
      <c r="B31" s="266"/>
      <c r="C31" s="266"/>
      <c r="D31" s="266"/>
      <c r="E31" s="266"/>
      <c r="F31" s="266">
        <f>'Operating Cost Estimate'!$N$62/50</f>
        <v>729366.24</v>
      </c>
      <c r="G31" s="266">
        <f>'Operating Cost Estimate'!$N$63/50</f>
        <v>61452.47</v>
      </c>
      <c r="H31" s="266">
        <f>('Operating Cost Estimate'!$N$65*(4/212))</f>
        <v>75475.07075471697</v>
      </c>
      <c r="I31" s="266"/>
      <c r="J31" s="271">
        <f t="shared" si="0"/>
        <v>866293.780754717</v>
      </c>
      <c r="K31" s="270">
        <f t="shared" si="2"/>
        <v>1659907.4663790066</v>
      </c>
      <c r="L31" s="270">
        <f t="shared" si="1"/>
        <v>555442.1864107258</v>
      </c>
    </row>
    <row r="32" spans="1:12" ht="11.25">
      <c r="A32" s="190">
        <f t="shared" si="3"/>
        <v>23</v>
      </c>
      <c r="B32" s="266"/>
      <c r="C32" s="266"/>
      <c r="D32" s="266"/>
      <c r="E32" s="266"/>
      <c r="F32" s="266">
        <f>'Operating Cost Estimate'!$N$62/50</f>
        <v>729366.24</v>
      </c>
      <c r="G32" s="266">
        <f>'Operating Cost Estimate'!$N$63/50</f>
        <v>61452.47</v>
      </c>
      <c r="H32" s="266">
        <f>('Operating Cost Estimate'!$N$65*(4/212))</f>
        <v>75475.07075471697</v>
      </c>
      <c r="I32" s="266"/>
      <c r="J32" s="271">
        <f t="shared" si="0"/>
        <v>866293.780754717</v>
      </c>
      <c r="K32" s="270">
        <f t="shared" si="2"/>
        <v>1709704.720370377</v>
      </c>
      <c r="L32" s="270">
        <f t="shared" si="1"/>
        <v>544333.3426825113</v>
      </c>
    </row>
    <row r="33" spans="1:12" ht="11.25">
      <c r="A33" s="190">
        <f t="shared" si="3"/>
        <v>24</v>
      </c>
      <c r="B33" s="266"/>
      <c r="C33" s="266"/>
      <c r="D33" s="266"/>
      <c r="E33" s="266"/>
      <c r="F33" s="266">
        <f>'Operating Cost Estimate'!$N$62/50</f>
        <v>729366.24</v>
      </c>
      <c r="G33" s="266">
        <f>'Operating Cost Estimate'!$N$63/50</f>
        <v>61452.47</v>
      </c>
      <c r="H33" s="266">
        <f>('Operating Cost Estimate'!$N$65*(4/212))+('Operating Cost Estimate'!$N$66/11)+('Operating Cost Estimate'!$N$67/10)</f>
        <v>119859.99702744425</v>
      </c>
      <c r="I33" s="266"/>
      <c r="J33" s="271">
        <f t="shared" si="0"/>
        <v>910678.7070274442</v>
      </c>
      <c r="K33" s="270">
        <f t="shared" si="2"/>
        <v>1851221.3085243674</v>
      </c>
      <c r="L33" s="270">
        <f t="shared" si="1"/>
        <v>560778.0406650116</v>
      </c>
    </row>
    <row r="34" spans="1:12" ht="11.25">
      <c r="A34" s="190">
        <f t="shared" si="3"/>
        <v>25</v>
      </c>
      <c r="B34" s="266"/>
      <c r="C34" s="266"/>
      <c r="D34" s="266"/>
      <c r="E34" s="266"/>
      <c r="F34" s="266">
        <f>'Operating Cost Estimate'!$N$62/50</f>
        <v>729366.24</v>
      </c>
      <c r="G34" s="266">
        <f>'Operating Cost Estimate'!$N$63/50</f>
        <v>61452.47</v>
      </c>
      <c r="H34" s="266">
        <f>('Operating Cost Estimate'!$N$65*(4/212))</f>
        <v>75475.07075471697</v>
      </c>
      <c r="I34" s="266"/>
      <c r="J34" s="271">
        <f t="shared" si="0"/>
        <v>866293.780754717</v>
      </c>
      <c r="K34" s="270">
        <f t="shared" si="2"/>
        <v>1813825.7987409327</v>
      </c>
      <c r="L34" s="270">
        <f t="shared" si="1"/>
        <v>522777.74231228384</v>
      </c>
    </row>
    <row r="35" spans="1:12" ht="11.25">
      <c r="A35" s="190">
        <f t="shared" si="3"/>
        <v>26</v>
      </c>
      <c r="B35" s="266"/>
      <c r="C35" s="266"/>
      <c r="D35" s="266"/>
      <c r="E35" s="266"/>
      <c r="F35" s="266">
        <f>'Operating Cost Estimate'!$N$62/50</f>
        <v>729366.24</v>
      </c>
      <c r="G35" s="266">
        <f>'Operating Cost Estimate'!$N$63/50</f>
        <v>61452.47</v>
      </c>
      <c r="H35" s="266">
        <f>('Operating Cost Estimate'!$N$65*(4/212))</f>
        <v>75475.07075471697</v>
      </c>
      <c r="I35" s="266"/>
      <c r="J35" s="271">
        <f t="shared" si="0"/>
        <v>866293.780754717</v>
      </c>
      <c r="K35" s="270">
        <f t="shared" si="2"/>
        <v>1868240.6027031608</v>
      </c>
      <c r="L35" s="270">
        <f t="shared" si="1"/>
        <v>512322.18746603816</v>
      </c>
    </row>
    <row r="36" spans="1:12" ht="11.25">
      <c r="A36" s="190">
        <f t="shared" si="3"/>
        <v>27</v>
      </c>
      <c r="B36" s="266"/>
      <c r="C36" s="266"/>
      <c r="D36" s="266"/>
      <c r="E36" s="266"/>
      <c r="F36" s="266">
        <f>'Operating Cost Estimate'!$N$62/50</f>
        <v>729366.24</v>
      </c>
      <c r="G36" s="266">
        <f>'Operating Cost Estimate'!$N$63/50</f>
        <v>61452.47</v>
      </c>
      <c r="H36" s="266">
        <f>('Operating Cost Estimate'!$N$65*(4/212))</f>
        <v>75475.07075471697</v>
      </c>
      <c r="I36" s="266"/>
      <c r="J36" s="271">
        <f t="shared" si="0"/>
        <v>866293.780754717</v>
      </c>
      <c r="K36" s="270">
        <f t="shared" si="2"/>
        <v>1924287.8507842557</v>
      </c>
      <c r="L36" s="270">
        <f t="shared" si="1"/>
        <v>502075.7437167173</v>
      </c>
    </row>
    <row r="37" spans="1:12" ht="11.25">
      <c r="A37" s="190">
        <f t="shared" si="3"/>
        <v>28</v>
      </c>
      <c r="B37" s="266"/>
      <c r="C37" s="266"/>
      <c r="D37" s="266"/>
      <c r="E37" s="266"/>
      <c r="F37" s="266">
        <f>'Operating Cost Estimate'!$N$62/50</f>
        <v>729366.24</v>
      </c>
      <c r="G37" s="266">
        <f>'Operating Cost Estimate'!$N$63/50</f>
        <v>61452.47</v>
      </c>
      <c r="H37" s="266">
        <f>('Operating Cost Estimate'!$N$65*(4/212))</f>
        <v>75475.07075471697</v>
      </c>
      <c r="I37" s="266"/>
      <c r="J37" s="271">
        <f t="shared" si="0"/>
        <v>866293.780754717</v>
      </c>
      <c r="K37" s="270">
        <f t="shared" si="2"/>
        <v>1982016.5163077833</v>
      </c>
      <c r="L37" s="270">
        <f t="shared" si="1"/>
        <v>492034.22884238296</v>
      </c>
    </row>
    <row r="38" spans="1:12" ht="11.25">
      <c r="A38" s="190">
        <f t="shared" si="3"/>
        <v>29</v>
      </c>
      <c r="B38" s="266"/>
      <c r="C38" s="266"/>
      <c r="D38" s="266"/>
      <c r="E38" s="266"/>
      <c r="F38" s="266">
        <f>'Operating Cost Estimate'!$N$62/50</f>
        <v>729366.24</v>
      </c>
      <c r="G38" s="266">
        <f>'Operating Cost Estimate'!$N$63/50</f>
        <v>61452.47</v>
      </c>
      <c r="H38" s="266">
        <f>('Operating Cost Estimate'!$N$65*(4/212))+('Operating Cost Estimate'!$N$66/11)+('Operating Cost Estimate'!$N$67/10)</f>
        <v>119859.99702744425</v>
      </c>
      <c r="I38" s="266"/>
      <c r="J38" s="271">
        <f t="shared" si="0"/>
        <v>910678.7070274442</v>
      </c>
      <c r="K38" s="270">
        <f t="shared" si="2"/>
        <v>2146073.0280380948</v>
      </c>
      <c r="L38" s="270">
        <f t="shared" si="1"/>
        <v>506898.93334586004</v>
      </c>
    </row>
    <row r="39" spans="1:12" ht="11.25">
      <c r="A39" s="190">
        <f t="shared" si="3"/>
        <v>30</v>
      </c>
      <c r="B39" s="266"/>
      <c r="C39" s="266"/>
      <c r="D39" s="266"/>
      <c r="E39" s="266"/>
      <c r="F39" s="266">
        <f>'Operating Cost Estimate'!$N$62/50</f>
        <v>729366.24</v>
      </c>
      <c r="G39" s="266">
        <f>'Operating Cost Estimate'!$N$63/50</f>
        <v>61452.47</v>
      </c>
      <c r="H39" s="266">
        <f>('Operating Cost Estimate'!$N$65*(4/212))</f>
        <v>75475.07075471697</v>
      </c>
      <c r="I39" s="267"/>
      <c r="J39" s="271">
        <f t="shared" si="0"/>
        <v>866293.780754717</v>
      </c>
      <c r="K39" s="270">
        <f t="shared" si="2"/>
        <v>2102721.383050927</v>
      </c>
      <c r="L39" s="270">
        <f t="shared" si="1"/>
        <v>472549.6733802246</v>
      </c>
    </row>
    <row r="40" spans="1:12" ht="11.25">
      <c r="A40" s="190">
        <f t="shared" si="3"/>
        <v>31</v>
      </c>
      <c r="B40" s="266"/>
      <c r="C40" s="266"/>
      <c r="D40" s="266"/>
      <c r="E40" s="266"/>
      <c r="F40" s="266">
        <f>'Operating Cost Estimate'!$N$62/50</f>
        <v>729366.24</v>
      </c>
      <c r="G40" s="266">
        <f>'Operating Cost Estimate'!$N$63/50</f>
        <v>61452.47</v>
      </c>
      <c r="H40" s="266">
        <f>('Operating Cost Estimate'!$N$65*(4/212))</f>
        <v>75475.07075471697</v>
      </c>
      <c r="I40" s="266"/>
      <c r="J40" s="271">
        <f t="shared" si="0"/>
        <v>866293.780754717</v>
      </c>
      <c r="K40" s="270">
        <f t="shared" si="2"/>
        <v>2165803.0545424554</v>
      </c>
      <c r="L40" s="270">
        <f t="shared" si="1"/>
        <v>463098.67991262005</v>
      </c>
    </row>
    <row r="41" spans="1:12" ht="11.25">
      <c r="A41" s="190">
        <f t="shared" si="3"/>
        <v>32</v>
      </c>
      <c r="B41" s="266"/>
      <c r="C41" s="266"/>
      <c r="D41" s="266"/>
      <c r="E41" s="266"/>
      <c r="F41" s="266">
        <f>'Operating Cost Estimate'!$N$62/50</f>
        <v>729366.24</v>
      </c>
      <c r="G41" s="266">
        <f>'Operating Cost Estimate'!$N$63/50</f>
        <v>61452.47</v>
      </c>
      <c r="H41" s="266">
        <f>('Operating Cost Estimate'!$N$65*(4/212))</f>
        <v>75475.07075471697</v>
      </c>
      <c r="I41" s="266"/>
      <c r="J41" s="271">
        <f t="shared" si="0"/>
        <v>866293.780754717</v>
      </c>
      <c r="K41" s="270">
        <f t="shared" si="2"/>
        <v>2230777.176178728</v>
      </c>
      <c r="L41" s="270">
        <f t="shared" si="1"/>
        <v>453836.70631436765</v>
      </c>
    </row>
    <row r="42" spans="1:12" ht="11.25">
      <c r="A42" s="190">
        <f t="shared" si="3"/>
        <v>33</v>
      </c>
      <c r="B42" s="266"/>
      <c r="C42" s="266"/>
      <c r="D42" s="266"/>
      <c r="E42" s="266"/>
      <c r="F42" s="266">
        <f>'Operating Cost Estimate'!$N$62/50</f>
        <v>729366.24</v>
      </c>
      <c r="G42" s="266">
        <f>'Operating Cost Estimate'!$N$63/50</f>
        <v>61452.47</v>
      </c>
      <c r="H42" s="266">
        <f>('Operating Cost Estimate'!$N$65*(4/212))</f>
        <v>75475.07075471697</v>
      </c>
      <c r="I42" s="266"/>
      <c r="J42" s="271">
        <f t="shared" si="0"/>
        <v>866293.780754717</v>
      </c>
      <c r="K42" s="270">
        <f t="shared" si="2"/>
        <v>2297700.5214640903</v>
      </c>
      <c r="L42" s="270">
        <f t="shared" si="1"/>
        <v>444759.9721880803</v>
      </c>
    </row>
    <row r="43" spans="1:12" ht="11.25">
      <c r="A43" s="190">
        <f t="shared" si="3"/>
        <v>34</v>
      </c>
      <c r="B43" s="266"/>
      <c r="C43" s="266"/>
      <c r="D43" s="266"/>
      <c r="E43" s="266"/>
      <c r="F43" s="266">
        <f>'Operating Cost Estimate'!$N$62/50</f>
        <v>729366.24</v>
      </c>
      <c r="G43" s="266">
        <f>'Operating Cost Estimate'!$N$63/50</f>
        <v>61452.47</v>
      </c>
      <c r="H43" s="266">
        <f>('Operating Cost Estimate'!$N$65*(4/212))+('Operating Cost Estimate'!$N$66/11)+('Operating Cost Estimate'!$N$67/10)</f>
        <v>119859.99702744425</v>
      </c>
      <c r="I43" s="266"/>
      <c r="J43" s="271">
        <f t="shared" si="0"/>
        <v>910678.7070274442</v>
      </c>
      <c r="K43" s="270">
        <f t="shared" si="2"/>
        <v>2487886.982233134</v>
      </c>
      <c r="L43" s="270">
        <f t="shared" si="1"/>
        <v>458196.48772705987</v>
      </c>
    </row>
    <row r="44" spans="1:12" ht="11.25">
      <c r="A44" s="190">
        <f t="shared" si="3"/>
        <v>35</v>
      </c>
      <c r="B44" s="266"/>
      <c r="C44" s="266"/>
      <c r="D44" s="266"/>
      <c r="E44" s="266"/>
      <c r="F44" s="266">
        <f>'Operating Cost Estimate'!$N$62/50</f>
        <v>729366.24</v>
      </c>
      <c r="G44" s="266">
        <f>'Operating Cost Estimate'!$N$63/50</f>
        <v>61452.47</v>
      </c>
      <c r="H44" s="266">
        <f>('Operating Cost Estimate'!$N$65*(4/212))</f>
        <v>75475.07075471697</v>
      </c>
      <c r="I44" s="266"/>
      <c r="J44" s="271">
        <f t="shared" si="0"/>
        <v>866293.780754717</v>
      </c>
      <c r="K44" s="270">
        <f t="shared" si="2"/>
        <v>2437630.5441212533</v>
      </c>
      <c r="L44" s="270">
        <f t="shared" si="1"/>
        <v>427147.4772894323</v>
      </c>
    </row>
    <row r="45" spans="1:12" ht="11.25">
      <c r="A45" s="190">
        <f t="shared" si="3"/>
        <v>36</v>
      </c>
      <c r="B45" s="266"/>
      <c r="C45" s="266"/>
      <c r="D45" s="266"/>
      <c r="E45" s="266"/>
      <c r="F45" s="266">
        <f>'Operating Cost Estimate'!$N$62/50</f>
        <v>729366.24</v>
      </c>
      <c r="G45" s="266">
        <f>'Operating Cost Estimate'!$N$63/50</f>
        <v>61452.47</v>
      </c>
      <c r="H45" s="266">
        <f>('Operating Cost Estimate'!$N$65*(4/212))</f>
        <v>75475.07075471697</v>
      </c>
      <c r="I45" s="266"/>
      <c r="J45" s="271">
        <f t="shared" si="0"/>
        <v>866293.780754717</v>
      </c>
      <c r="K45" s="270">
        <f t="shared" si="2"/>
        <v>2510759.490444891</v>
      </c>
      <c r="L45" s="270">
        <f t="shared" si="1"/>
        <v>418604.5277436436</v>
      </c>
    </row>
    <row r="46" spans="1:12" ht="11.25">
      <c r="A46" s="190">
        <f t="shared" si="3"/>
        <v>37</v>
      </c>
      <c r="B46" s="266"/>
      <c r="C46" s="266"/>
      <c r="D46" s="266"/>
      <c r="E46" s="266"/>
      <c r="F46" s="266">
        <f>'Operating Cost Estimate'!$N$62/50</f>
        <v>729366.24</v>
      </c>
      <c r="G46" s="266">
        <f>'Operating Cost Estimate'!$N$63/50</f>
        <v>61452.47</v>
      </c>
      <c r="H46" s="266">
        <f>('Operating Cost Estimate'!$N$65*(4/212))</f>
        <v>75475.07075471697</v>
      </c>
      <c r="I46" s="266"/>
      <c r="J46" s="271">
        <f t="shared" si="0"/>
        <v>866293.780754717</v>
      </c>
      <c r="K46" s="270">
        <f t="shared" si="2"/>
        <v>2586082.3051582375</v>
      </c>
      <c r="L46" s="270">
        <f t="shared" si="1"/>
        <v>410232.43718877074</v>
      </c>
    </row>
    <row r="47" spans="1:12" ht="11.25">
      <c r="A47" s="190">
        <f t="shared" si="3"/>
        <v>38</v>
      </c>
      <c r="B47" s="266"/>
      <c r="C47" s="266"/>
      <c r="D47" s="266"/>
      <c r="E47" s="266"/>
      <c r="F47" s="266">
        <f>'Operating Cost Estimate'!$N$62/50</f>
        <v>729366.24</v>
      </c>
      <c r="G47" s="266">
        <f>'Operating Cost Estimate'!$N$63/50</f>
        <v>61452.47</v>
      </c>
      <c r="H47" s="266">
        <f>('Operating Cost Estimate'!$N$65*(4/212))</f>
        <v>75475.07075471697</v>
      </c>
      <c r="I47" s="266"/>
      <c r="J47" s="271">
        <f t="shared" si="0"/>
        <v>866293.780754717</v>
      </c>
      <c r="K47" s="270">
        <f t="shared" si="2"/>
        <v>2663664.8043129845</v>
      </c>
      <c r="L47" s="270">
        <f t="shared" si="1"/>
        <v>402027.7884449953</v>
      </c>
    </row>
    <row r="48" spans="1:12" ht="11.25">
      <c r="A48" s="190">
        <f t="shared" si="3"/>
        <v>39</v>
      </c>
      <c r="B48" s="266"/>
      <c r="C48" s="266"/>
      <c r="D48" s="266"/>
      <c r="E48" s="266"/>
      <c r="F48" s="266">
        <f>'Operating Cost Estimate'!$N$62/50</f>
        <v>729366.24</v>
      </c>
      <c r="G48" s="266">
        <f>'Operating Cost Estimate'!$N$63/50</f>
        <v>61452.47</v>
      </c>
      <c r="H48" s="266">
        <f>('Operating Cost Estimate'!$N$65*(4/212))+('Operating Cost Estimate'!$N$66/11)+('Operating Cost Estimate'!$N$67/10)</f>
        <v>119859.99702744425</v>
      </c>
      <c r="I48" s="266"/>
      <c r="J48" s="271">
        <f t="shared" si="0"/>
        <v>910678.7070274442</v>
      </c>
      <c r="K48" s="270">
        <f t="shared" si="2"/>
        <v>2884143.037565412</v>
      </c>
      <c r="L48" s="270">
        <f t="shared" si="1"/>
        <v>414173.3342772052</v>
      </c>
    </row>
    <row r="49" spans="1:12" ht="11.25">
      <c r="A49" s="190">
        <f t="shared" si="3"/>
        <v>40</v>
      </c>
      <c r="B49" s="266"/>
      <c r="C49" s="266"/>
      <c r="D49" s="266"/>
      <c r="E49" s="266"/>
      <c r="F49" s="266">
        <f>'Operating Cost Estimate'!$N$62/50</f>
        <v>729366.24</v>
      </c>
      <c r="G49" s="266">
        <f>'Operating Cost Estimate'!$N$63/50</f>
        <v>61452.47</v>
      </c>
      <c r="H49" s="266">
        <f>('Operating Cost Estimate'!$N$65*(4/212))</f>
        <v>75475.07075471697</v>
      </c>
      <c r="I49" s="266">
        <f>'Operating Cost Estimate'!N53</f>
        <v>8168750</v>
      </c>
      <c r="J49" s="271">
        <f t="shared" si="0"/>
        <v>9035043.780754717</v>
      </c>
      <c r="K49" s="270">
        <f t="shared" si="2"/>
        <v>29472653.265188064</v>
      </c>
      <c r="L49" s="270">
        <f t="shared" si="1"/>
        <v>4026922.6627969</v>
      </c>
    </row>
    <row r="50" spans="1:12" ht="11.25">
      <c r="A50" s="190">
        <f t="shared" si="3"/>
        <v>41</v>
      </c>
      <c r="B50" s="266"/>
      <c r="C50" s="266"/>
      <c r="D50" s="266"/>
      <c r="E50" s="266"/>
      <c r="F50" s="266">
        <f>'Operating Cost Estimate'!$N$62/50</f>
        <v>729366.24</v>
      </c>
      <c r="G50" s="266">
        <f>'Operating Cost Estimate'!$N$63/50</f>
        <v>61452.47</v>
      </c>
      <c r="H50" s="266">
        <f>('Operating Cost Estimate'!$N$65*(4/212))</f>
        <v>75475.07075471697</v>
      </c>
      <c r="I50" s="266"/>
      <c r="J50" s="271">
        <f t="shared" si="0"/>
        <v>866293.780754717</v>
      </c>
      <c r="K50" s="270">
        <f t="shared" si="2"/>
        <v>2910658.5433495147</v>
      </c>
      <c r="L50" s="270">
        <f t="shared" si="1"/>
        <v>378385.338262122</v>
      </c>
    </row>
    <row r="51" spans="1:12" ht="11.25">
      <c r="A51" s="190">
        <f t="shared" si="3"/>
        <v>42</v>
      </c>
      <c r="B51" s="266"/>
      <c r="C51" s="266"/>
      <c r="D51" s="266"/>
      <c r="E51" s="266"/>
      <c r="F51" s="266">
        <f>'Operating Cost Estimate'!$N$62/50</f>
        <v>729366.24</v>
      </c>
      <c r="G51" s="266">
        <f>'Operating Cost Estimate'!$N$63/50</f>
        <v>61452.47</v>
      </c>
      <c r="H51" s="266">
        <f>('Operating Cost Estimate'!$N$65*(4/212))</f>
        <v>75475.07075471697</v>
      </c>
      <c r="I51" s="266"/>
      <c r="J51" s="271">
        <f t="shared" si="0"/>
        <v>866293.780754717</v>
      </c>
      <c r="K51" s="270">
        <f t="shared" si="2"/>
        <v>2997978.32965</v>
      </c>
      <c r="L51" s="270">
        <f t="shared" si="1"/>
        <v>370817.63149687956</v>
      </c>
    </row>
    <row r="52" spans="1:12" ht="11.25">
      <c r="A52" s="190">
        <f t="shared" si="3"/>
        <v>43</v>
      </c>
      <c r="B52" s="266"/>
      <c r="C52" s="266"/>
      <c r="D52" s="266"/>
      <c r="E52" s="266"/>
      <c r="F52" s="266">
        <f>'Operating Cost Estimate'!$N$62/50</f>
        <v>729366.24</v>
      </c>
      <c r="G52" s="266">
        <f>'Operating Cost Estimate'!$N$63/50</f>
        <v>61452.47</v>
      </c>
      <c r="H52" s="266">
        <f>('Operating Cost Estimate'!$N$65*(4/212))</f>
        <v>75475.07075471697</v>
      </c>
      <c r="I52" s="266"/>
      <c r="J52" s="271">
        <f t="shared" si="0"/>
        <v>866293.780754717</v>
      </c>
      <c r="K52" s="270">
        <f t="shared" si="2"/>
        <v>3087917.7095395</v>
      </c>
      <c r="L52" s="270">
        <f t="shared" si="1"/>
        <v>363401.2788669419</v>
      </c>
    </row>
    <row r="53" spans="1:12" ht="11.25">
      <c r="A53" s="190">
        <f t="shared" si="3"/>
        <v>44</v>
      </c>
      <c r="B53" s="266"/>
      <c r="C53" s="266"/>
      <c r="D53" s="266"/>
      <c r="E53" s="266"/>
      <c r="F53" s="266">
        <f>'Operating Cost Estimate'!$N$62/50</f>
        <v>729366.24</v>
      </c>
      <c r="G53" s="266">
        <f>'Operating Cost Estimate'!$N$63/50</f>
        <v>61452.47</v>
      </c>
      <c r="H53" s="266">
        <f>('Operating Cost Estimate'!$N$65*(4/212))+('Operating Cost Estimate'!$N$66/11)+('Operating Cost Estimate'!$N$67/10)</f>
        <v>119859.99702744425</v>
      </c>
      <c r="I53" s="266"/>
      <c r="J53" s="271">
        <f t="shared" si="0"/>
        <v>910678.7070274442</v>
      </c>
      <c r="K53" s="270">
        <f t="shared" si="2"/>
        <v>3343512.4092965066</v>
      </c>
      <c r="L53" s="270">
        <f t="shared" si="1"/>
        <v>374379.8903331641</v>
      </c>
    </row>
    <row r="54" spans="1:12" ht="11.25">
      <c r="A54" s="190">
        <f t="shared" si="3"/>
        <v>45</v>
      </c>
      <c r="B54" s="266"/>
      <c r="C54" s="266"/>
      <c r="D54" s="266"/>
      <c r="E54" s="266"/>
      <c r="F54" s="266">
        <f>'Operating Cost Estimate'!$N$62/50</f>
        <v>729366.24</v>
      </c>
      <c r="G54" s="266">
        <f>'Operating Cost Estimate'!$N$63/50</f>
        <v>61452.47</v>
      </c>
      <c r="H54" s="266">
        <f>('Operating Cost Estimate'!$N$65*(4/212))</f>
        <v>75475.07075471697</v>
      </c>
      <c r="I54" s="266"/>
      <c r="J54" s="271">
        <f t="shared" si="0"/>
        <v>866293.780754717</v>
      </c>
      <c r="K54" s="270">
        <f t="shared" si="2"/>
        <v>3275971.9589504553</v>
      </c>
      <c r="L54" s="270">
        <f t="shared" si="1"/>
        <v>349010.588223811</v>
      </c>
    </row>
    <row r="55" spans="1:12" ht="11.25">
      <c r="A55" s="190">
        <f t="shared" si="3"/>
        <v>46</v>
      </c>
      <c r="B55" s="266"/>
      <c r="C55" s="266"/>
      <c r="D55" s="266"/>
      <c r="E55" s="266"/>
      <c r="F55" s="266">
        <f>'Operating Cost Estimate'!$N$62/50</f>
        <v>729366.24</v>
      </c>
      <c r="G55" s="266">
        <f>'Operating Cost Estimate'!$N$63/50</f>
        <v>61452.47</v>
      </c>
      <c r="H55" s="266">
        <f>('Operating Cost Estimate'!$N$65*(4/212))</f>
        <v>75475.07075471697</v>
      </c>
      <c r="I55" s="266"/>
      <c r="J55" s="271">
        <f t="shared" si="0"/>
        <v>866293.780754717</v>
      </c>
      <c r="K55" s="270">
        <f t="shared" si="2"/>
        <v>3374251.147718969</v>
      </c>
      <c r="L55" s="270">
        <f t="shared" si="1"/>
        <v>342030.3764593348</v>
      </c>
    </row>
    <row r="56" spans="1:12" ht="11.25">
      <c r="A56" s="190">
        <f t="shared" si="3"/>
        <v>47</v>
      </c>
      <c r="B56" s="266"/>
      <c r="C56" s="266"/>
      <c r="D56" s="266"/>
      <c r="E56" s="266"/>
      <c r="F56" s="266">
        <f>'Operating Cost Estimate'!$N$62/50</f>
        <v>729366.24</v>
      </c>
      <c r="G56" s="266">
        <f>'Operating Cost Estimate'!$N$63/50</f>
        <v>61452.47</v>
      </c>
      <c r="H56" s="266">
        <f>('Operating Cost Estimate'!$N$65*(4/212))</f>
        <v>75475.07075471697</v>
      </c>
      <c r="I56" s="266"/>
      <c r="J56" s="271">
        <f t="shared" si="0"/>
        <v>866293.780754717</v>
      </c>
      <c r="K56" s="270">
        <f t="shared" si="2"/>
        <v>3475478.7121505383</v>
      </c>
      <c r="L56" s="270">
        <f t="shared" si="1"/>
        <v>335189.76893014804</v>
      </c>
    </row>
    <row r="57" spans="1:12" ht="11.25">
      <c r="A57" s="190">
        <f t="shared" si="3"/>
        <v>48</v>
      </c>
      <c r="B57" s="266"/>
      <c r="C57" s="266"/>
      <c r="D57" s="266"/>
      <c r="E57" s="266"/>
      <c r="F57" s="266">
        <f>'Operating Cost Estimate'!$N$62/50</f>
        <v>729366.24</v>
      </c>
      <c r="G57" s="266">
        <f>'Operating Cost Estimate'!$N$63/50</f>
        <v>61452.47</v>
      </c>
      <c r="H57" s="266">
        <f>('Operating Cost Estimate'!$N$65*(4/212))</f>
        <v>75475.07075471697</v>
      </c>
      <c r="I57" s="266"/>
      <c r="J57" s="271">
        <f t="shared" si="0"/>
        <v>866293.780754717</v>
      </c>
      <c r="K57" s="270">
        <f t="shared" si="2"/>
        <v>3579743.103515054</v>
      </c>
      <c r="L57" s="270">
        <f t="shared" si="1"/>
        <v>328485.9735515451</v>
      </c>
    </row>
    <row r="58" spans="1:12" ht="11.25">
      <c r="A58" s="190">
        <f t="shared" si="3"/>
        <v>49</v>
      </c>
      <c r="B58" s="266"/>
      <c r="C58" s="266"/>
      <c r="D58" s="266"/>
      <c r="E58" s="266"/>
      <c r="F58" s="266">
        <f>'Operating Cost Estimate'!$N$62/50</f>
        <v>729366.24</v>
      </c>
      <c r="G58" s="266">
        <f>'Operating Cost Estimate'!$N$63/50</f>
        <v>61452.47</v>
      </c>
      <c r="H58" s="266">
        <f>('Operating Cost Estimate'!$N$65*(4/212))+('Operating Cost Estimate'!$N$66/11)+('Operating Cost Estimate'!$N$67/10)</f>
        <v>119859.99702744425</v>
      </c>
      <c r="I58" s="266"/>
      <c r="J58" s="271">
        <f t="shared" si="0"/>
        <v>910678.7070274442</v>
      </c>
      <c r="K58" s="270">
        <f t="shared" si="2"/>
        <v>3876047.4124718443</v>
      </c>
      <c r="L58" s="270">
        <f t="shared" si="1"/>
        <v>338409.76877585024</v>
      </c>
    </row>
    <row r="59" spans="1:12" ht="11.25">
      <c r="A59" s="190">
        <f t="shared" si="3"/>
        <v>50</v>
      </c>
      <c r="B59" s="266"/>
      <c r="C59" s="266"/>
      <c r="D59" s="266"/>
      <c r="E59" s="266"/>
      <c r="F59" s="266">
        <f>'Operating Cost Estimate'!$N$62/50</f>
        <v>729366.24</v>
      </c>
      <c r="G59" s="266"/>
      <c r="H59" s="266">
        <f>('Operating Cost Estimate'!$N$65*(1/212))</f>
        <v>18868.767688679243</v>
      </c>
      <c r="I59" s="266"/>
      <c r="J59" s="271">
        <f t="shared" si="0"/>
        <v>748235.0076886793</v>
      </c>
      <c r="K59" s="270">
        <f t="shared" si="2"/>
        <v>3280190.953613744</v>
      </c>
      <c r="L59" s="270">
        <f t="shared" si="1"/>
        <v>272484.5033799675</v>
      </c>
    </row>
    <row r="60" spans="1:12" ht="11.25">
      <c r="A60" s="190">
        <f t="shared" si="3"/>
        <v>51</v>
      </c>
      <c r="B60" s="266"/>
      <c r="C60" s="266"/>
      <c r="D60" s="266"/>
      <c r="E60" s="266"/>
      <c r="F60" s="266"/>
      <c r="G60" s="266"/>
      <c r="H60" s="266">
        <f>('Operating Cost Estimate'!$N$65*(1/212))</f>
        <v>18868.767688679243</v>
      </c>
      <c r="I60" s="267"/>
      <c r="J60" s="271">
        <f t="shared" si="0"/>
        <v>18868.767688679243</v>
      </c>
      <c r="K60" s="270">
        <f t="shared" si="2"/>
        <v>85199.47136306633</v>
      </c>
      <c r="L60" s="270">
        <f t="shared" si="1"/>
        <v>6734.004430967952</v>
      </c>
    </row>
    <row r="61" spans="1:12" ht="11.25">
      <c r="A61" s="190">
        <f t="shared" si="3"/>
        <v>52</v>
      </c>
      <c r="B61" s="266"/>
      <c r="C61" s="266"/>
      <c r="D61" s="266"/>
      <c r="E61" s="266"/>
      <c r="F61" s="266"/>
      <c r="G61" s="266"/>
      <c r="H61" s="266">
        <f>('Operating Cost Estimate'!$N$65*(1/212))</f>
        <v>18868.767688679243</v>
      </c>
      <c r="I61" s="267"/>
      <c r="J61" s="271">
        <f t="shared" si="0"/>
        <v>18868.767688679243</v>
      </c>
      <c r="K61" s="270">
        <f t="shared" si="2"/>
        <v>87755.48550395832</v>
      </c>
      <c r="L61" s="270">
        <f t="shared" si="1"/>
        <v>6599.324342348593</v>
      </c>
    </row>
    <row r="62" spans="1:12" ht="11.25">
      <c r="A62" s="190">
        <f t="shared" si="3"/>
        <v>53</v>
      </c>
      <c r="B62" s="266"/>
      <c r="C62" s="266"/>
      <c r="D62" s="266"/>
      <c r="E62" s="266"/>
      <c r="F62" s="266"/>
      <c r="G62" s="266"/>
      <c r="H62" s="266">
        <f>('Operating Cost Estimate'!$N$65*(1/212))</f>
        <v>18868.767688679243</v>
      </c>
      <c r="I62" s="267"/>
      <c r="J62" s="271">
        <f t="shared" si="0"/>
        <v>18868.767688679243</v>
      </c>
      <c r="K62" s="270">
        <f t="shared" si="2"/>
        <v>90388.18006907706</v>
      </c>
      <c r="L62" s="270">
        <f t="shared" si="1"/>
        <v>6467.337855501621</v>
      </c>
    </row>
    <row r="63" spans="1:12" ht="11.25">
      <c r="A63" s="190">
        <f t="shared" si="3"/>
        <v>54</v>
      </c>
      <c r="B63" s="266"/>
      <c r="C63" s="266"/>
      <c r="D63" s="266"/>
      <c r="E63" s="266"/>
      <c r="F63" s="266"/>
      <c r="G63" s="266"/>
      <c r="H63" s="266">
        <f>('Operating Cost Estimate'!$N$65*(1/212))</f>
        <v>18868.767688679243</v>
      </c>
      <c r="I63" s="267"/>
      <c r="J63" s="271">
        <f t="shared" si="0"/>
        <v>18868.767688679243</v>
      </c>
      <c r="K63" s="270">
        <f t="shared" si="2"/>
        <v>93099.85547114938</v>
      </c>
      <c r="L63" s="270">
        <f t="shared" si="1"/>
        <v>6337.991098391588</v>
      </c>
    </row>
    <row r="64" spans="1:12" ht="11.25">
      <c r="A64" s="190">
        <f t="shared" si="3"/>
        <v>55</v>
      </c>
      <c r="B64" s="266"/>
      <c r="C64" s="266"/>
      <c r="D64" s="266"/>
      <c r="E64" s="266"/>
      <c r="F64" s="266"/>
      <c r="G64" s="266"/>
      <c r="H64" s="266">
        <f>('Operating Cost Estimate'!$N$65*(1/212))</f>
        <v>18868.767688679243</v>
      </c>
      <c r="I64" s="267"/>
      <c r="J64" s="271">
        <f t="shared" si="0"/>
        <v>18868.767688679243</v>
      </c>
      <c r="K64" s="270">
        <f t="shared" si="2"/>
        <v>95892.88113528387</v>
      </c>
      <c r="L64" s="270">
        <f t="shared" si="1"/>
        <v>6211.231276423756</v>
      </c>
    </row>
    <row r="65" spans="1:12" ht="11.25">
      <c r="A65" s="190">
        <f t="shared" si="3"/>
        <v>56</v>
      </c>
      <c r="B65" s="266"/>
      <c r="C65" s="266"/>
      <c r="D65" s="266"/>
      <c r="E65" s="266"/>
      <c r="F65" s="266"/>
      <c r="G65" s="266"/>
      <c r="H65" s="266">
        <f>('Operating Cost Estimate'!$N$65*(1/212))</f>
        <v>18868.767688679243</v>
      </c>
      <c r="I65" s="267"/>
      <c r="J65" s="271">
        <f t="shared" si="0"/>
        <v>18868.767688679243</v>
      </c>
      <c r="K65" s="270">
        <f t="shared" si="2"/>
        <v>98769.69756934236</v>
      </c>
      <c r="L65" s="270">
        <f t="shared" si="1"/>
        <v>6087.0066508952805</v>
      </c>
    </row>
    <row r="66" spans="1:12" ht="11.25">
      <c r="A66" s="190">
        <f t="shared" si="3"/>
        <v>57</v>
      </c>
      <c r="B66" s="266"/>
      <c r="C66" s="266"/>
      <c r="D66" s="266"/>
      <c r="E66" s="266"/>
      <c r="F66" s="266"/>
      <c r="G66" s="266"/>
      <c r="H66" s="266">
        <f>('Operating Cost Estimate'!$N$65*(1/212))</f>
        <v>18868.767688679243</v>
      </c>
      <c r="I66" s="267"/>
      <c r="J66" s="271">
        <f t="shared" si="0"/>
        <v>18868.767688679243</v>
      </c>
      <c r="K66" s="270">
        <f t="shared" si="2"/>
        <v>101732.81849642264</v>
      </c>
      <c r="L66" s="270">
        <f t="shared" si="1"/>
        <v>5965.266517877375</v>
      </c>
    </row>
    <row r="67" spans="1:12" ht="11.25">
      <c r="A67" s="190">
        <f t="shared" si="3"/>
        <v>58</v>
      </c>
      <c r="B67" s="266"/>
      <c r="C67" s="266"/>
      <c r="D67" s="266"/>
      <c r="E67" s="266"/>
      <c r="F67" s="266"/>
      <c r="G67" s="266"/>
      <c r="H67" s="267"/>
      <c r="I67" s="267"/>
      <c r="J67" s="271">
        <f t="shared" si="0"/>
        <v>0</v>
      </c>
      <c r="K67" s="270"/>
      <c r="L67" s="270">
        <f t="shared" si="1"/>
        <v>0</v>
      </c>
    </row>
    <row r="68" spans="1:12" s="21" customFormat="1" ht="11.25">
      <c r="A68" s="190">
        <f t="shared" si="3"/>
        <v>59</v>
      </c>
      <c r="B68" s="266"/>
      <c r="C68" s="266"/>
      <c r="D68" s="266"/>
      <c r="E68" s="266"/>
      <c r="F68" s="266"/>
      <c r="G68" s="266"/>
      <c r="H68" s="267"/>
      <c r="I68" s="267"/>
      <c r="J68" s="271">
        <f t="shared" si="0"/>
        <v>0</v>
      </c>
      <c r="K68" s="270"/>
      <c r="L68" s="270">
        <f t="shared" si="1"/>
        <v>0</v>
      </c>
    </row>
    <row r="69" spans="1:12" s="21" customFormat="1" ht="11.25">
      <c r="A69" s="190">
        <f t="shared" si="3"/>
        <v>60</v>
      </c>
      <c r="B69" s="266"/>
      <c r="C69" s="266"/>
      <c r="D69" s="266"/>
      <c r="E69" s="266"/>
      <c r="F69" s="266"/>
      <c r="G69" s="266"/>
      <c r="H69" s="267"/>
      <c r="I69" s="267"/>
      <c r="J69" s="271">
        <f t="shared" si="0"/>
        <v>0</v>
      </c>
      <c r="K69" s="270"/>
      <c r="L69" s="270">
        <f t="shared" si="1"/>
        <v>0</v>
      </c>
    </row>
    <row r="70" spans="1:12" s="21" customFormat="1" ht="11.25">
      <c r="A70" s="190">
        <f t="shared" si="3"/>
        <v>61</v>
      </c>
      <c r="B70" s="266"/>
      <c r="C70" s="266"/>
      <c r="D70" s="266"/>
      <c r="E70" s="266"/>
      <c r="F70" s="266"/>
      <c r="G70" s="266"/>
      <c r="H70" s="267"/>
      <c r="I70" s="267"/>
      <c r="J70" s="271">
        <f t="shared" si="0"/>
        <v>0</v>
      </c>
      <c r="K70" s="270"/>
      <c r="L70" s="270">
        <f t="shared" si="1"/>
        <v>0</v>
      </c>
    </row>
    <row r="71" spans="1:12" s="21" customFormat="1" ht="11.25">
      <c r="A71" s="190">
        <f t="shared" si="3"/>
        <v>62</v>
      </c>
      <c r="B71" s="266"/>
      <c r="C71" s="266"/>
      <c r="D71" s="266"/>
      <c r="E71" s="266"/>
      <c r="F71" s="266"/>
      <c r="G71" s="266"/>
      <c r="H71" s="266">
        <f>('Operating Cost Estimate'!$N$65*(1/212))</f>
        <v>18868.767688679243</v>
      </c>
      <c r="I71" s="267"/>
      <c r="J71" s="271">
        <f t="shared" si="0"/>
        <v>18868.767688679243</v>
      </c>
      <c r="K71" s="270">
        <f t="shared" si="2"/>
        <v>117936.37826244456</v>
      </c>
      <c r="L71" s="270">
        <f t="shared" si="1"/>
        <v>5392.128463964077</v>
      </c>
    </row>
    <row r="72" spans="1:12" s="21" customFormat="1" ht="11.25">
      <c r="A72" s="190">
        <f t="shared" si="3"/>
        <v>63</v>
      </c>
      <c r="B72" s="266"/>
      <c r="C72" s="266"/>
      <c r="D72" s="266"/>
      <c r="E72" s="266"/>
      <c r="F72" s="266"/>
      <c r="G72" s="266"/>
      <c r="H72" s="267"/>
      <c r="I72" s="267"/>
      <c r="J72" s="271">
        <f t="shared" si="0"/>
        <v>0</v>
      </c>
      <c r="K72" s="270"/>
      <c r="L72" s="270">
        <f t="shared" si="1"/>
        <v>0</v>
      </c>
    </row>
    <row r="73" spans="1:12" s="21" customFormat="1" ht="11.25">
      <c r="A73" s="190">
        <f t="shared" si="3"/>
        <v>64</v>
      </c>
      <c r="B73" s="266"/>
      <c r="C73" s="266"/>
      <c r="D73" s="266"/>
      <c r="E73" s="266"/>
      <c r="F73" s="266"/>
      <c r="G73" s="266"/>
      <c r="H73" s="267"/>
      <c r="I73" s="267"/>
      <c r="J73" s="271">
        <f aca="true" t="shared" si="4" ref="J73:J88">SUM(B73:I73)</f>
        <v>0</v>
      </c>
      <c r="K73" s="270"/>
      <c r="L73" s="270">
        <f aca="true" t="shared" si="5" ref="L73:L88">J73*((1+K$8-L$8)^A73)</f>
        <v>0</v>
      </c>
    </row>
    <row r="74" spans="1:12" s="21" customFormat="1" ht="11.25">
      <c r="A74" s="190">
        <f t="shared" si="3"/>
        <v>65</v>
      </c>
      <c r="B74" s="266"/>
      <c r="C74" s="266"/>
      <c r="D74" s="266"/>
      <c r="E74" s="266"/>
      <c r="F74" s="266"/>
      <c r="G74" s="266"/>
      <c r="H74" s="267"/>
      <c r="I74" s="267"/>
      <c r="J74" s="271">
        <f t="shared" si="4"/>
        <v>0</v>
      </c>
      <c r="K74" s="270"/>
      <c r="L74" s="270">
        <f t="shared" si="5"/>
        <v>0</v>
      </c>
    </row>
    <row r="75" spans="1:12" s="21" customFormat="1" ht="11.25">
      <c r="A75" s="190">
        <f aca="true" t="shared" si="6" ref="A75:A88">1+A74</f>
        <v>66</v>
      </c>
      <c r="B75" s="266"/>
      <c r="C75" s="266"/>
      <c r="D75" s="266"/>
      <c r="E75" s="266"/>
      <c r="F75" s="266"/>
      <c r="G75" s="266"/>
      <c r="H75" s="267"/>
      <c r="I75" s="267"/>
      <c r="J75" s="271">
        <f t="shared" si="4"/>
        <v>0</v>
      </c>
      <c r="K75" s="270"/>
      <c r="L75" s="270">
        <f t="shared" si="5"/>
        <v>0</v>
      </c>
    </row>
    <row r="76" spans="1:12" s="21" customFormat="1" ht="11.25">
      <c r="A76" s="190">
        <f t="shared" si="6"/>
        <v>67</v>
      </c>
      <c r="B76" s="266"/>
      <c r="C76" s="266"/>
      <c r="D76" s="266"/>
      <c r="E76" s="266"/>
      <c r="F76" s="266"/>
      <c r="G76" s="266"/>
      <c r="H76" s="266">
        <f>('Operating Cost Estimate'!$N$65*(1/212))</f>
        <v>18868.767688679243</v>
      </c>
      <c r="I76" s="267"/>
      <c r="J76" s="271">
        <f t="shared" si="4"/>
        <v>18868.767688679243</v>
      </c>
      <c r="K76" s="270">
        <f>(J76*((1+K$8)^A76)-1)</f>
        <v>136720.74501056437</v>
      </c>
      <c r="L76" s="270">
        <f t="shared" si="5"/>
        <v>4874.0570575943675</v>
      </c>
    </row>
    <row r="77" spans="1:12" s="21" customFormat="1" ht="11.25">
      <c r="A77" s="190">
        <f t="shared" si="6"/>
        <v>68</v>
      </c>
      <c r="B77" s="266"/>
      <c r="C77" s="266"/>
      <c r="D77" s="266"/>
      <c r="E77" s="266"/>
      <c r="F77" s="266"/>
      <c r="G77" s="266"/>
      <c r="H77" s="267"/>
      <c r="I77" s="267"/>
      <c r="J77" s="271">
        <f t="shared" si="4"/>
        <v>0</v>
      </c>
      <c r="K77" s="270"/>
      <c r="L77" s="270">
        <f t="shared" si="5"/>
        <v>0</v>
      </c>
    </row>
    <row r="78" spans="1:12" s="21" customFormat="1" ht="11.25">
      <c r="A78" s="190">
        <f t="shared" si="6"/>
        <v>69</v>
      </c>
      <c r="B78" s="266"/>
      <c r="C78" s="266"/>
      <c r="D78" s="266"/>
      <c r="E78" s="266"/>
      <c r="F78" s="266"/>
      <c r="G78" s="266"/>
      <c r="H78" s="267"/>
      <c r="I78" s="267"/>
      <c r="J78" s="271">
        <f t="shared" si="4"/>
        <v>0</v>
      </c>
      <c r="K78" s="270"/>
      <c r="L78" s="270">
        <f t="shared" si="5"/>
        <v>0</v>
      </c>
    </row>
    <row r="79" spans="1:12" s="21" customFormat="1" ht="11.25">
      <c r="A79" s="190">
        <f t="shared" si="6"/>
        <v>70</v>
      </c>
      <c r="B79" s="266"/>
      <c r="C79" s="266"/>
      <c r="D79" s="266"/>
      <c r="E79" s="266"/>
      <c r="F79" s="266"/>
      <c r="G79" s="266"/>
      <c r="H79" s="267"/>
      <c r="I79" s="267"/>
      <c r="J79" s="271">
        <f t="shared" si="4"/>
        <v>0</v>
      </c>
      <c r="K79" s="270"/>
      <c r="L79" s="270">
        <f t="shared" si="5"/>
        <v>0</v>
      </c>
    </row>
    <row r="80" spans="1:12" s="21" customFormat="1" ht="11.25">
      <c r="A80" s="190">
        <f t="shared" si="6"/>
        <v>71</v>
      </c>
      <c r="B80" s="266"/>
      <c r="C80" s="266"/>
      <c r="D80" s="266"/>
      <c r="E80" s="266"/>
      <c r="F80" s="266"/>
      <c r="G80" s="266"/>
      <c r="H80" s="267"/>
      <c r="I80" s="267"/>
      <c r="J80" s="271">
        <f t="shared" si="4"/>
        <v>0</v>
      </c>
      <c r="K80" s="270"/>
      <c r="L80" s="270">
        <f t="shared" si="5"/>
        <v>0</v>
      </c>
    </row>
    <row r="81" spans="1:12" s="21" customFormat="1" ht="11.25">
      <c r="A81" s="190">
        <f t="shared" si="6"/>
        <v>72</v>
      </c>
      <c r="B81" s="266"/>
      <c r="C81" s="266"/>
      <c r="D81" s="266"/>
      <c r="E81" s="266"/>
      <c r="F81" s="266"/>
      <c r="G81" s="266"/>
      <c r="H81" s="266">
        <f>('Operating Cost Estimate'!$N$65*(1/212))</f>
        <v>18868.767688679243</v>
      </c>
      <c r="I81" s="267"/>
      <c r="J81" s="271">
        <f t="shared" si="4"/>
        <v>18868.767688679243</v>
      </c>
      <c r="K81" s="270">
        <f>(J81*((1+K$8)^A81)-1)</f>
        <v>158496.97438380262</v>
      </c>
      <c r="L81" s="270">
        <f t="shared" si="5"/>
        <v>4405.761539149364</v>
      </c>
    </row>
    <row r="82" spans="1:12" s="21" customFormat="1" ht="11.25">
      <c r="A82" s="190">
        <f t="shared" si="6"/>
        <v>73</v>
      </c>
      <c r="B82" s="266"/>
      <c r="C82" s="266"/>
      <c r="D82" s="266"/>
      <c r="E82" s="266"/>
      <c r="F82" s="266"/>
      <c r="G82" s="266"/>
      <c r="H82" s="267"/>
      <c r="I82" s="267"/>
      <c r="J82" s="271">
        <f t="shared" si="4"/>
        <v>0</v>
      </c>
      <c r="K82" s="270"/>
      <c r="L82" s="270">
        <f t="shared" si="5"/>
        <v>0</v>
      </c>
    </row>
    <row r="83" spans="1:12" s="21" customFormat="1" ht="11.25">
      <c r="A83" s="190">
        <f t="shared" si="6"/>
        <v>74</v>
      </c>
      <c r="B83" s="266"/>
      <c r="C83" s="266"/>
      <c r="D83" s="266"/>
      <c r="E83" s="266"/>
      <c r="F83" s="266"/>
      <c r="G83" s="266"/>
      <c r="H83" s="267"/>
      <c r="I83" s="267"/>
      <c r="J83" s="271">
        <f t="shared" si="4"/>
        <v>0</v>
      </c>
      <c r="K83" s="270"/>
      <c r="L83" s="270">
        <f t="shared" si="5"/>
        <v>0</v>
      </c>
    </row>
    <row r="84" spans="1:12" s="21" customFormat="1" ht="11.25">
      <c r="A84" s="190">
        <f t="shared" si="6"/>
        <v>75</v>
      </c>
      <c r="B84" s="266"/>
      <c r="C84" s="266"/>
      <c r="D84" s="266"/>
      <c r="E84" s="266"/>
      <c r="F84" s="266"/>
      <c r="G84" s="266"/>
      <c r="H84" s="267"/>
      <c r="I84" s="267"/>
      <c r="J84" s="271">
        <f t="shared" si="4"/>
        <v>0</v>
      </c>
      <c r="K84" s="270"/>
      <c r="L84" s="270">
        <f t="shared" si="5"/>
        <v>0</v>
      </c>
    </row>
    <row r="85" spans="1:12" s="21" customFormat="1" ht="11.25">
      <c r="A85" s="190">
        <f t="shared" si="6"/>
        <v>76</v>
      </c>
      <c r="B85" s="266"/>
      <c r="C85" s="266"/>
      <c r="D85" s="266"/>
      <c r="E85" s="266"/>
      <c r="F85" s="266"/>
      <c r="G85" s="266"/>
      <c r="H85" s="267"/>
      <c r="I85" s="267"/>
      <c r="J85" s="271">
        <f t="shared" si="4"/>
        <v>0</v>
      </c>
      <c r="K85" s="270"/>
      <c r="L85" s="270">
        <f t="shared" si="5"/>
        <v>0</v>
      </c>
    </row>
    <row r="86" spans="1:12" s="21" customFormat="1" ht="11.25">
      <c r="A86" s="190">
        <f t="shared" si="6"/>
        <v>77</v>
      </c>
      <c r="B86" s="266"/>
      <c r="C86" s="266"/>
      <c r="D86" s="266"/>
      <c r="E86" s="266"/>
      <c r="F86" s="266"/>
      <c r="G86" s="266"/>
      <c r="H86" s="266">
        <f>('Operating Cost Estimate'!$N$65*(1/212))</f>
        <v>18868.767688679243</v>
      </c>
      <c r="I86" s="267"/>
      <c r="J86" s="271">
        <f t="shared" si="4"/>
        <v>18868.767688679243</v>
      </c>
      <c r="K86" s="270">
        <f>(J86*((1+K$8)^A86)-1)</f>
        <v>183741.59253220787</v>
      </c>
      <c r="L86" s="270">
        <f t="shared" si="5"/>
        <v>3982.4594809786863</v>
      </c>
    </row>
    <row r="87" spans="1:12" s="21" customFormat="1" ht="11.25">
      <c r="A87" s="190">
        <f t="shared" si="6"/>
        <v>78</v>
      </c>
      <c r="B87" s="266"/>
      <c r="C87" s="266"/>
      <c r="D87" s="266"/>
      <c r="E87" s="266"/>
      <c r="F87" s="266"/>
      <c r="G87" s="266"/>
      <c r="H87" s="266"/>
      <c r="I87" s="267"/>
      <c r="J87" s="271">
        <f t="shared" si="4"/>
        <v>0</v>
      </c>
      <c r="K87" s="270"/>
      <c r="L87" s="270">
        <f t="shared" si="5"/>
        <v>0</v>
      </c>
    </row>
    <row r="88" spans="1:12" s="21" customFormat="1" ht="11.25">
      <c r="A88" s="190">
        <f t="shared" si="6"/>
        <v>79</v>
      </c>
      <c r="B88" s="299"/>
      <c r="C88" s="299"/>
      <c r="D88" s="299"/>
      <c r="E88" s="299"/>
      <c r="F88" s="299"/>
      <c r="G88" s="299"/>
      <c r="H88" s="300"/>
      <c r="I88" s="300"/>
      <c r="J88" s="301">
        <f t="shared" si="4"/>
        <v>0</v>
      </c>
      <c r="K88" s="302"/>
      <c r="L88" s="302">
        <f t="shared" si="5"/>
        <v>0</v>
      </c>
    </row>
    <row r="89" spans="1:12" s="21" customFormat="1" ht="11.25">
      <c r="A89" s="191" t="s">
        <v>202</v>
      </c>
      <c r="B89" s="192">
        <f aca="true" t="shared" si="7" ref="B89:L89">SUM(B9:B88)</f>
        <v>1191599.89</v>
      </c>
      <c r="C89" s="193">
        <f t="shared" si="7"/>
        <v>8196677.130000001</v>
      </c>
      <c r="D89" s="193">
        <f t="shared" si="7"/>
        <v>0</v>
      </c>
      <c r="E89" s="193">
        <f t="shared" si="7"/>
        <v>24820625</v>
      </c>
      <c r="F89" s="193">
        <f t="shared" si="7"/>
        <v>36468311.99999997</v>
      </c>
      <c r="G89" s="193">
        <f t="shared" si="7"/>
        <v>3072623.5000000023</v>
      </c>
      <c r="H89" s="193">
        <f t="shared" si="7"/>
        <v>4457299.540000005</v>
      </c>
      <c r="I89" s="193">
        <f t="shared" si="7"/>
        <v>16337500</v>
      </c>
      <c r="J89" s="298">
        <f t="shared" si="7"/>
        <v>94544637.05999994</v>
      </c>
      <c r="K89" s="193">
        <f t="shared" si="7"/>
        <v>177242430.4340392</v>
      </c>
      <c r="L89" s="193">
        <f t="shared" si="7"/>
        <v>70762026.02109037</v>
      </c>
    </row>
    <row r="90" s="21" customFormat="1" ht="11.25"/>
    <row r="91" spans="2:12" s="21" customFormat="1" ht="11.25">
      <c r="B91" s="99"/>
      <c r="C91" s="99"/>
      <c r="D91" s="99"/>
      <c r="E91" s="99"/>
      <c r="F91" s="99"/>
      <c r="G91" s="99"/>
      <c r="H91" s="99"/>
      <c r="I91" s="99"/>
      <c r="J91" s="99"/>
      <c r="L91" s="194"/>
    </row>
    <row r="92" spans="1:10" s="21" customFormat="1" ht="11.25">
      <c r="A92" s="99"/>
      <c r="B92" s="99"/>
      <c r="C92" s="99"/>
      <c r="D92" s="99"/>
      <c r="E92" s="99"/>
      <c r="F92" s="99"/>
      <c r="G92" s="99"/>
      <c r="H92" s="99"/>
      <c r="I92" s="99"/>
      <c r="J92" s="99"/>
    </row>
    <row r="93" spans="1:10" s="21" customFormat="1" ht="11.25">
      <c r="A93" s="99"/>
      <c r="B93" s="99"/>
      <c r="C93" s="99"/>
      <c r="D93" s="99"/>
      <c r="E93" s="99"/>
      <c r="F93" s="99"/>
      <c r="G93" s="99"/>
      <c r="H93" s="99"/>
      <c r="I93" s="99"/>
      <c r="J93" s="195"/>
    </row>
    <row r="94" spans="1:10" s="21" customFormat="1" ht="11.25">
      <c r="A94" s="99"/>
      <c r="B94" s="99"/>
      <c r="C94" s="99"/>
      <c r="D94" s="99"/>
      <c r="E94" s="99"/>
      <c r="F94" s="99"/>
      <c r="G94" s="99"/>
      <c r="H94" s="99"/>
      <c r="I94" s="99"/>
      <c r="J94" s="99"/>
    </row>
    <row r="95" spans="1:10" s="21" customFormat="1" ht="11.25">
      <c r="A95" s="99"/>
      <c r="B95" s="99"/>
      <c r="C95" s="99"/>
      <c r="D95" s="99"/>
      <c r="E95" s="99"/>
      <c r="F95" s="99"/>
      <c r="G95" s="99"/>
      <c r="H95" s="99"/>
      <c r="I95" s="99"/>
      <c r="J95" s="99"/>
    </row>
    <row r="96" spans="1:10" s="21" customFormat="1" ht="11.25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 s="21" customFormat="1" ht="11.25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 s="21" customFormat="1" ht="11.25">
      <c r="A98" s="99"/>
      <c r="B98" s="99"/>
      <c r="C98" s="99"/>
      <c r="D98" s="99"/>
      <c r="E98" s="99"/>
      <c r="F98" s="99"/>
      <c r="G98" s="99"/>
      <c r="H98" s="99"/>
      <c r="I98" s="99"/>
      <c r="J98" s="99"/>
    </row>
    <row r="99" spans="1:10" s="21" customFormat="1" ht="11.25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 s="21" customFormat="1" ht="11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s="21" customFormat="1" ht="11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1:10" s="21" customFormat="1" ht="11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1:10" s="21" customFormat="1" ht="11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1:10" s="21" customFormat="1" ht="11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1:10" s="21" customFormat="1" ht="11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1:10" s="21" customFormat="1" ht="11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 s="21" customFormat="1" ht="11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1:10" s="21" customFormat="1" ht="11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1:10" s="21" customFormat="1" ht="11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1:10" s="21" customFormat="1" ht="11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1:10" s="21" customFormat="1" ht="11.25">
      <c r="A111" s="99"/>
      <c r="B111" s="99"/>
      <c r="C111" s="99"/>
      <c r="D111" s="99"/>
      <c r="E111" s="99"/>
      <c r="F111" s="99"/>
      <c r="G111" s="99"/>
      <c r="H111" s="99"/>
      <c r="I111" s="99"/>
      <c r="J111" s="195"/>
    </row>
    <row r="112" spans="1:10" s="21" customFormat="1" ht="11.25">
      <c r="A112" s="99"/>
      <c r="B112" s="99"/>
      <c r="C112" s="99"/>
      <c r="D112" s="99"/>
      <c r="E112" s="99"/>
      <c r="F112" s="99"/>
      <c r="G112" s="99"/>
      <c r="H112" s="99"/>
      <c r="I112" s="99"/>
      <c r="J112" s="195"/>
    </row>
    <row r="113" spans="1:10" s="21" customFormat="1" ht="11.25">
      <c r="A113" s="99"/>
      <c r="B113" s="99"/>
      <c r="C113" s="99"/>
      <c r="D113" s="99"/>
      <c r="E113" s="99"/>
      <c r="F113" s="99"/>
      <c r="G113" s="99"/>
      <c r="H113" s="99"/>
      <c r="I113" s="99"/>
      <c r="J113" s="195"/>
    </row>
    <row r="114" spans="1:10" s="21" customFormat="1" ht="11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 s="21" customFormat="1" ht="11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 s="21" customFormat="1" ht="11.25">
      <c r="A116" s="99"/>
      <c r="B116" s="99"/>
      <c r="C116" s="99"/>
      <c r="D116" s="99"/>
      <c r="E116" s="99"/>
      <c r="F116" s="99"/>
      <c r="G116" s="99"/>
      <c r="H116" s="99"/>
      <c r="I116" s="99"/>
      <c r="J116" s="195"/>
    </row>
    <row r="117" spans="1:10" s="21" customFormat="1" ht="11.25">
      <c r="A117" s="99"/>
      <c r="B117" s="99"/>
      <c r="C117" s="99"/>
      <c r="D117" s="99"/>
      <c r="E117" s="99"/>
      <c r="F117" s="99"/>
      <c r="G117" s="99"/>
      <c r="H117" s="99"/>
      <c r="I117" s="99"/>
      <c r="J117" s="195"/>
    </row>
    <row r="118" spans="1:10" s="21" customFormat="1" ht="11.25">
      <c r="A118" s="99"/>
      <c r="B118" s="99"/>
      <c r="C118" s="99"/>
      <c r="D118" s="99"/>
      <c r="E118" s="99"/>
      <c r="F118" s="99"/>
      <c r="G118" s="99"/>
      <c r="H118" s="99"/>
      <c r="I118" s="99"/>
      <c r="J118" s="195"/>
    </row>
    <row r="119" spans="1:10" s="21" customFormat="1" ht="11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 s="21" customFormat="1" ht="11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1:10" s="21" customFormat="1" ht="11.25">
      <c r="A121" s="99"/>
      <c r="B121" s="99"/>
      <c r="C121" s="99"/>
      <c r="D121" s="99"/>
      <c r="E121" s="99"/>
      <c r="F121" s="99"/>
      <c r="G121" s="99"/>
      <c r="H121" s="99"/>
      <c r="I121" s="99"/>
      <c r="J121" s="195"/>
    </row>
    <row r="122" spans="1:10" s="21" customFormat="1" ht="11.25">
      <c r="A122" s="99"/>
      <c r="B122" s="99"/>
      <c r="C122" s="99"/>
      <c r="D122" s="99"/>
      <c r="E122" s="99"/>
      <c r="F122" s="99"/>
      <c r="G122" s="99"/>
      <c r="H122" s="99"/>
      <c r="I122" s="99"/>
      <c r="J122" s="195"/>
    </row>
    <row r="123" spans="1:10" s="21" customFormat="1" ht="11.25">
      <c r="A123" s="99"/>
      <c r="B123" s="99"/>
      <c r="C123" s="99"/>
      <c r="D123" s="99"/>
      <c r="E123" s="99"/>
      <c r="F123" s="99"/>
      <c r="G123" s="99"/>
      <c r="H123" s="99"/>
      <c r="I123" s="99"/>
      <c r="J123" s="195"/>
    </row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pans="2:9" s="21" customFormat="1" ht="11.25">
      <c r="B130" s="10"/>
      <c r="C130" s="10"/>
      <c r="F130" s="196"/>
      <c r="G130" s="196"/>
      <c r="H130" s="196"/>
      <c r="I130" s="196"/>
    </row>
    <row r="131" s="21" customFormat="1" ht="11.25">
      <c r="B131" s="10"/>
    </row>
    <row r="132" s="21" customFormat="1" ht="4.5" customHeight="1">
      <c r="B132" s="10"/>
    </row>
    <row r="133" spans="1:10" ht="11.25">
      <c r="A133" s="21"/>
      <c r="J133" s="21"/>
    </row>
    <row r="134" spans="1:10" ht="4.5" customHeight="1">
      <c r="A134" s="21"/>
      <c r="J134" s="21"/>
    </row>
    <row r="135" spans="1:10" ht="11.25">
      <c r="A135" s="21"/>
      <c r="J135" s="21"/>
    </row>
    <row r="136" spans="1:10" ht="4.5" customHeight="1">
      <c r="A136" s="21"/>
      <c r="J136" s="21"/>
    </row>
    <row r="137" spans="1:10" ht="11.25">
      <c r="A137" s="21"/>
      <c r="J137" s="21"/>
    </row>
    <row r="138" spans="1:10" ht="4.5" customHeight="1">
      <c r="A138" s="21"/>
      <c r="J138" s="21"/>
    </row>
    <row r="139" spans="1:10" ht="11.25">
      <c r="A139" s="21"/>
      <c r="J139" s="21"/>
    </row>
    <row r="140" spans="1:10" ht="11.25">
      <c r="A140" s="21"/>
      <c r="J140" s="21"/>
    </row>
    <row r="141" spans="1:10" ht="11.25">
      <c r="A141" s="21"/>
      <c r="J141" s="21"/>
    </row>
    <row r="142" spans="1:10" ht="4.5" customHeight="1">
      <c r="A142" s="21"/>
      <c r="J142" s="21"/>
    </row>
    <row r="146" ht="4.5" customHeight="1"/>
    <row r="151" ht="11.25">
      <c r="E151" s="197"/>
    </row>
    <row r="152" ht="11.25">
      <c r="E152" s="197"/>
    </row>
    <row r="153" ht="11.25">
      <c r="E153" s="197"/>
    </row>
    <row r="159" ht="4.5" customHeight="1"/>
    <row r="163" ht="4.5" customHeight="1"/>
    <row r="164" ht="11.25">
      <c r="B164" s="70"/>
    </row>
  </sheetData>
  <mergeCells count="6">
    <mergeCell ref="B3:J3"/>
    <mergeCell ref="A6:A8"/>
    <mergeCell ref="B6:I6"/>
    <mergeCell ref="J6:J8"/>
    <mergeCell ref="B7:E7"/>
    <mergeCell ref="F7:I7"/>
  </mergeCells>
  <hyperlinks>
    <hyperlink ref="K9" r:id="rId1" display="=@npv(L8,K9)"/>
    <hyperlink ref="K10" r:id="rId2" display="=@npv(L8,K9)"/>
    <hyperlink ref="L9" r:id="rId3" display="=@npv(L8,K9)"/>
    <hyperlink ref="L10" r:id="rId4" display="=@npv(L8,K9)"/>
    <hyperlink ref="L11:L13" r:id="rId5" display="=@npv(L8,K9)"/>
    <hyperlink ref="L14:L88" r:id="rId6" display="=@npv(L8,K9)"/>
  </hyperlinks>
  <printOptions/>
  <pageMargins left="0.75" right="0.75" top="1" bottom="1" header="0.5" footer="0.5"/>
  <pageSetup fitToHeight="1" fitToWidth="1" horizontalDpi="1200" verticalDpi="1200" orientation="portrait" scale="56" r:id="rId7"/>
  <headerFooter alignWithMargins="0">
    <oddFooter>&amp;L&amp;"Braggadocio,Regular"CSP&amp;X2&amp;RPage &amp;P of &amp;N</oddFooter>
  </headerFooter>
  <ignoredErrors>
    <ignoredError sqref="G13:H6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8" style="10" customWidth="1"/>
    <col min="2" max="2" width="13.66015625" style="21" customWidth="1"/>
    <col min="3" max="3" width="13.66015625" style="21" bestFit="1" customWidth="1"/>
    <col min="4" max="4" width="15.33203125" style="21" customWidth="1"/>
    <col min="5" max="5" width="13.66015625" style="21" bestFit="1" customWidth="1"/>
    <col min="6" max="9" width="13.66015625" style="21" customWidth="1"/>
    <col min="10" max="10" width="16.66015625" style="10" customWidth="1"/>
    <col min="11" max="12" width="14.83203125" style="10" bestFit="1" customWidth="1"/>
    <col min="13" max="155" width="12.83203125" style="10" bestFit="1" customWidth="1"/>
    <col min="156" max="156" width="14" style="10" bestFit="1" customWidth="1"/>
    <col min="157" max="16384" width="9.33203125" style="10" customWidth="1"/>
  </cols>
  <sheetData>
    <row r="1" spans="1:10" s="21" customFormat="1" ht="12">
      <c r="A1" s="87"/>
      <c r="B1" s="181" t="s">
        <v>278</v>
      </c>
      <c r="C1" s="182"/>
      <c r="D1" s="182"/>
      <c r="E1" s="182"/>
      <c r="F1" s="182"/>
      <c r="G1" s="182"/>
      <c r="H1" s="182"/>
      <c r="I1" s="182"/>
      <c r="J1" s="182"/>
    </row>
    <row r="2" spans="2:10" s="21" customFormat="1" ht="12">
      <c r="B2" s="181" t="s">
        <v>192</v>
      </c>
      <c r="C2" s="182"/>
      <c r="D2" s="182"/>
      <c r="E2" s="182"/>
      <c r="F2" s="182"/>
      <c r="G2" s="182"/>
      <c r="H2" s="182"/>
      <c r="I2" s="182"/>
      <c r="J2" s="182"/>
    </row>
    <row r="3" spans="2:10" s="21" customFormat="1" ht="12">
      <c r="B3" s="351" t="s">
        <v>276</v>
      </c>
      <c r="C3" s="352"/>
      <c r="D3" s="352"/>
      <c r="E3" s="352"/>
      <c r="F3" s="352"/>
      <c r="G3" s="352"/>
      <c r="H3" s="352"/>
      <c r="I3" s="352"/>
      <c r="J3" s="352"/>
    </row>
    <row r="4" spans="2:10" s="21" customFormat="1" ht="12">
      <c r="B4" s="181"/>
      <c r="C4" s="182"/>
      <c r="D4" s="182"/>
      <c r="E4" s="182"/>
      <c r="F4" s="182"/>
      <c r="G4" s="182"/>
      <c r="H4" s="182"/>
      <c r="I4" s="182"/>
      <c r="J4" s="182"/>
    </row>
    <row r="5" s="21" customFormat="1" ht="11.25"/>
    <row r="6" spans="1:12" ht="11.25">
      <c r="A6" s="353" t="s">
        <v>193</v>
      </c>
      <c r="B6" s="355" t="s">
        <v>194</v>
      </c>
      <c r="C6" s="355"/>
      <c r="D6" s="355"/>
      <c r="E6" s="355"/>
      <c r="F6" s="356"/>
      <c r="G6" s="356"/>
      <c r="H6" s="356"/>
      <c r="I6" s="356"/>
      <c r="J6" s="357" t="s">
        <v>195</v>
      </c>
      <c r="K6" s="183" t="s">
        <v>196</v>
      </c>
      <c r="L6" s="184" t="s">
        <v>197</v>
      </c>
    </row>
    <row r="7" spans="1:12" ht="11.25">
      <c r="A7" s="329"/>
      <c r="B7" s="356" t="s">
        <v>198</v>
      </c>
      <c r="C7" s="356"/>
      <c r="D7" s="356"/>
      <c r="E7" s="356"/>
      <c r="F7" s="360" t="s">
        <v>191</v>
      </c>
      <c r="G7" s="361"/>
      <c r="H7" s="361"/>
      <c r="I7" s="362"/>
      <c r="J7" s="358"/>
      <c r="K7" s="185" t="s">
        <v>199</v>
      </c>
      <c r="L7" s="186" t="s">
        <v>200</v>
      </c>
    </row>
    <row r="8" spans="1:12" ht="33.75">
      <c r="A8" s="354"/>
      <c r="B8" s="187" t="s">
        <v>204</v>
      </c>
      <c r="C8" s="187" t="s">
        <v>205</v>
      </c>
      <c r="D8" s="187" t="s">
        <v>54</v>
      </c>
      <c r="E8" s="187" t="s">
        <v>201</v>
      </c>
      <c r="F8" s="187" t="s">
        <v>206</v>
      </c>
      <c r="G8" s="187" t="s">
        <v>207</v>
      </c>
      <c r="H8" s="187" t="s">
        <v>212</v>
      </c>
      <c r="I8" s="187" t="s">
        <v>211</v>
      </c>
      <c r="J8" s="359"/>
      <c r="K8" s="188">
        <v>0.03</v>
      </c>
      <c r="L8" s="189">
        <v>0.05</v>
      </c>
    </row>
    <row r="9" spans="1:12" ht="12.75">
      <c r="A9" s="190">
        <v>0</v>
      </c>
      <c r="B9" s="266">
        <f>'Capital Cost Estimate'!$AE$162/3</f>
        <v>397199.9633333333</v>
      </c>
      <c r="C9" s="266"/>
      <c r="D9" s="266"/>
      <c r="E9" s="266">
        <f>'Capital Cost Estimate'!AE175</f>
        <v>24820625</v>
      </c>
      <c r="F9" s="266"/>
      <c r="G9" s="266">
        <f>'Operating Cost Estimate'!$P$63/100</f>
        <v>61452.469999999994</v>
      </c>
      <c r="H9" s="266">
        <f>('Operating Cost Estimate'!$P$65*(4/412))+('Operating Cost Estimate'!$P$66/21)</f>
        <v>111099.6601710587</v>
      </c>
      <c r="I9" s="267"/>
      <c r="J9" s="268">
        <f aca="true" t="shared" si="0" ref="J9:J72">SUM(B9:I9)</f>
        <v>25390377.09350439</v>
      </c>
      <c r="K9" s="305">
        <f>($J9*((1+K$8)^A9))</f>
        <v>25390377.09350439</v>
      </c>
      <c r="L9" s="305">
        <f aca="true" t="shared" si="1" ref="L9:L72">J9*((1+K$8-L$8)^A9)</f>
        <v>25390377.09350439</v>
      </c>
    </row>
    <row r="10" spans="1:12" ht="12.75">
      <c r="A10" s="190">
        <f>1+A9</f>
        <v>1</v>
      </c>
      <c r="B10" s="266">
        <f>'Capital Cost Estimate'!$AE$162/3</f>
        <v>397199.9633333333</v>
      </c>
      <c r="C10" s="266"/>
      <c r="D10" s="266"/>
      <c r="E10" s="266"/>
      <c r="F10" s="266">
        <f>'Operating Cost Estimate'!$P$62/100</f>
        <v>729366.2399999999</v>
      </c>
      <c r="G10" s="266">
        <f>'Operating Cost Estimate'!$P$63/100</f>
        <v>61452.469999999994</v>
      </c>
      <c r="H10" s="266">
        <f>('Operating Cost Estimate'!$P$65*(4/412))</f>
        <v>90417.33398058251</v>
      </c>
      <c r="I10" s="267"/>
      <c r="J10" s="271">
        <f t="shared" si="0"/>
        <v>1278436.0073139155</v>
      </c>
      <c r="K10" s="305">
        <f aca="true" t="shared" si="2" ref="K10:K73">(J10*((1+K$8)^A10)-1)</f>
        <v>1316788.087533333</v>
      </c>
      <c r="L10" s="305">
        <f t="shared" si="1"/>
        <v>1252867.2871676371</v>
      </c>
    </row>
    <row r="11" spans="1:12" ht="12.75">
      <c r="A11" s="190">
        <f aca="true" t="shared" si="3" ref="A11:A74">1+A10</f>
        <v>2</v>
      </c>
      <c r="B11" s="266">
        <f>'Capital Cost Estimate'!$AE$162/3</f>
        <v>397199.9633333333</v>
      </c>
      <c r="C11" s="266"/>
      <c r="D11" s="266"/>
      <c r="E11" s="266"/>
      <c r="F11" s="266">
        <f>'Operating Cost Estimate'!$P$62/100</f>
        <v>729366.2399999999</v>
      </c>
      <c r="G11" s="266">
        <f>'Operating Cost Estimate'!$P$63/100</f>
        <v>61452.469999999994</v>
      </c>
      <c r="H11" s="266">
        <f>('Operating Cost Estimate'!$P$65*(4/412))</f>
        <v>90417.33398058251</v>
      </c>
      <c r="I11" s="267"/>
      <c r="J11" s="271">
        <f t="shared" si="0"/>
        <v>1278436.0073139155</v>
      </c>
      <c r="K11" s="304">
        <f t="shared" si="2"/>
        <v>1356291.760159333</v>
      </c>
      <c r="L11" s="305">
        <f t="shared" si="1"/>
        <v>1227809.9414242844</v>
      </c>
    </row>
    <row r="12" spans="1:12" ht="12.75">
      <c r="A12" s="190">
        <f t="shared" si="3"/>
        <v>3</v>
      </c>
      <c r="B12" s="266"/>
      <c r="C12" s="266">
        <f>'Capital Cost Estimate'!$AE$170/2</f>
        <v>4098338.5650000004</v>
      </c>
      <c r="D12" s="266"/>
      <c r="E12" s="272"/>
      <c r="F12" s="266">
        <f>'Operating Cost Estimate'!$P$62/100</f>
        <v>729366.2399999999</v>
      </c>
      <c r="G12" s="266">
        <f>'Operating Cost Estimate'!$P$63/100</f>
        <v>61452.469999999994</v>
      </c>
      <c r="H12" s="266">
        <f>('Operating Cost Estimate'!$P$65*(4/412))</f>
        <v>90417.33398058251</v>
      </c>
      <c r="I12" s="267"/>
      <c r="J12" s="271">
        <f t="shared" si="0"/>
        <v>4979574.608980583</v>
      </c>
      <c r="K12" s="304">
        <f t="shared" si="2"/>
        <v>5441314.623747526</v>
      </c>
      <c r="L12" s="305">
        <f t="shared" si="1"/>
        <v>4686735.785375653</v>
      </c>
    </row>
    <row r="13" spans="1:12" ht="12.75">
      <c r="A13" s="190">
        <f t="shared" si="3"/>
        <v>4</v>
      </c>
      <c r="B13" s="266"/>
      <c r="C13" s="266">
        <f>'Capital Cost Estimate'!$AE$170/2</f>
        <v>4098338.5650000004</v>
      </c>
      <c r="D13" s="266"/>
      <c r="E13" s="266"/>
      <c r="F13" s="266">
        <f>'Operating Cost Estimate'!$P$62/100</f>
        <v>729366.2399999999</v>
      </c>
      <c r="G13" s="266">
        <f>'Operating Cost Estimate'!$P$63/100</f>
        <v>61452.469999999994</v>
      </c>
      <c r="H13" s="266">
        <f>('Operating Cost Estimate'!$P$65*(4/412))+('Operating Cost Estimate'!$P$66/21)+('Operating Cost Estimate'!$P$67/20)</f>
        <v>159407.12717105867</v>
      </c>
      <c r="I13" s="267"/>
      <c r="J13" s="271">
        <f t="shared" si="0"/>
        <v>5048564.402171059</v>
      </c>
      <c r="K13" s="304">
        <f t="shared" si="2"/>
        <v>5682202.712495909</v>
      </c>
      <c r="L13" s="305">
        <f t="shared" si="1"/>
        <v>4656635.058272019</v>
      </c>
    </row>
    <row r="14" spans="1:12" ht="12.75">
      <c r="A14" s="190">
        <f t="shared" si="3"/>
        <v>5</v>
      </c>
      <c r="B14" s="266"/>
      <c r="C14" s="273"/>
      <c r="D14" s="266"/>
      <c r="E14" s="266"/>
      <c r="F14" s="266">
        <f>'Operating Cost Estimate'!$P$62/100</f>
        <v>729366.2399999999</v>
      </c>
      <c r="G14" s="266">
        <f>'Operating Cost Estimate'!$P$63/100</f>
        <v>61452.469999999994</v>
      </c>
      <c r="H14" s="266">
        <f>('Operating Cost Estimate'!$P$65*(4/412))</f>
        <v>90417.33398058251</v>
      </c>
      <c r="I14" s="267"/>
      <c r="J14" s="271">
        <f t="shared" si="0"/>
        <v>881236.0439805824</v>
      </c>
      <c r="K14" s="304">
        <f t="shared" si="2"/>
        <v>1021593.0991253835</v>
      </c>
      <c r="L14" s="305">
        <f t="shared" si="1"/>
        <v>796567.5870438077</v>
      </c>
    </row>
    <row r="15" spans="1:12" ht="12.75">
      <c r="A15" s="190">
        <f t="shared" si="3"/>
        <v>6</v>
      </c>
      <c r="B15" s="266"/>
      <c r="C15" s="266"/>
      <c r="D15" s="266"/>
      <c r="E15" s="266"/>
      <c r="F15" s="266">
        <f>'Operating Cost Estimate'!$P$62/100</f>
        <v>729366.2399999999</v>
      </c>
      <c r="G15" s="266">
        <f>'Operating Cost Estimate'!$P$63/100</f>
        <v>61452.469999999994</v>
      </c>
      <c r="H15" s="266">
        <f>('Operating Cost Estimate'!$P$65*(4/412))</f>
        <v>90417.33398058251</v>
      </c>
      <c r="I15" s="267"/>
      <c r="J15" s="271">
        <f t="shared" si="0"/>
        <v>881236.0439805824</v>
      </c>
      <c r="K15" s="304">
        <f t="shared" si="2"/>
        <v>1052240.9220991451</v>
      </c>
      <c r="L15" s="305">
        <f t="shared" si="1"/>
        <v>780636.2353029315</v>
      </c>
    </row>
    <row r="16" spans="1:12" ht="12.75">
      <c r="A16" s="190">
        <f t="shared" si="3"/>
        <v>7</v>
      </c>
      <c r="B16" s="266"/>
      <c r="C16" s="266"/>
      <c r="D16" s="266"/>
      <c r="E16" s="266"/>
      <c r="F16" s="266">
        <f>'Operating Cost Estimate'!$P$62/100</f>
        <v>729366.2399999999</v>
      </c>
      <c r="G16" s="266">
        <f>'Operating Cost Estimate'!$P$63/100</f>
        <v>61452.469999999994</v>
      </c>
      <c r="H16" s="266">
        <f>('Operating Cost Estimate'!$P$65*(4/412))</f>
        <v>90417.33398058251</v>
      </c>
      <c r="I16" s="267"/>
      <c r="J16" s="271">
        <f t="shared" si="0"/>
        <v>881236.0439805824</v>
      </c>
      <c r="K16" s="304">
        <f t="shared" si="2"/>
        <v>1083808.1797621197</v>
      </c>
      <c r="L16" s="305">
        <f t="shared" si="1"/>
        <v>765023.5105968729</v>
      </c>
    </row>
    <row r="17" spans="1:12" ht="12.75">
      <c r="A17" s="190">
        <f t="shared" si="3"/>
        <v>8</v>
      </c>
      <c r="B17" s="266"/>
      <c r="C17" s="266"/>
      <c r="D17" s="266"/>
      <c r="E17" s="266"/>
      <c r="F17" s="266">
        <f>'Operating Cost Estimate'!$P$62/100</f>
        <v>729366.2399999999</v>
      </c>
      <c r="G17" s="266">
        <f>'Operating Cost Estimate'!$P$63/100</f>
        <v>61452.469999999994</v>
      </c>
      <c r="H17" s="266">
        <f>('Operating Cost Estimate'!$P$65*(4/412))</f>
        <v>90417.33398058251</v>
      </c>
      <c r="I17" s="267"/>
      <c r="J17" s="271">
        <f t="shared" si="0"/>
        <v>881236.0439805824</v>
      </c>
      <c r="K17" s="304">
        <f t="shared" si="2"/>
        <v>1116322.455154983</v>
      </c>
      <c r="L17" s="305">
        <f t="shared" si="1"/>
        <v>749723.0403849354</v>
      </c>
    </row>
    <row r="18" spans="1:12" ht="12.75">
      <c r="A18" s="190">
        <f t="shared" si="3"/>
        <v>9</v>
      </c>
      <c r="B18" s="266"/>
      <c r="C18" s="266"/>
      <c r="D18" s="266"/>
      <c r="E18" s="266"/>
      <c r="F18" s="266">
        <f>'Operating Cost Estimate'!$P$62/100</f>
        <v>729366.2399999999</v>
      </c>
      <c r="G18" s="266">
        <f>'Operating Cost Estimate'!$P$63/100</f>
        <v>61452.469999999994</v>
      </c>
      <c r="H18" s="266">
        <f>('Operating Cost Estimate'!$P$65*(4/412))+('Operating Cost Estimate'!$P$66/21)+('Operating Cost Estimate'!$P$67/20)</f>
        <v>159407.12717105867</v>
      </c>
      <c r="I18" s="266"/>
      <c r="J18" s="271">
        <f t="shared" si="0"/>
        <v>950225.8371710585</v>
      </c>
      <c r="K18" s="304">
        <f t="shared" si="2"/>
        <v>1239828.1909224913</v>
      </c>
      <c r="L18" s="305">
        <f t="shared" si="1"/>
        <v>792248.6652596181</v>
      </c>
    </row>
    <row r="19" spans="1:12" ht="12.75">
      <c r="A19" s="190">
        <f t="shared" si="3"/>
        <v>10</v>
      </c>
      <c r="B19" s="266"/>
      <c r="C19" s="266"/>
      <c r="D19" s="266"/>
      <c r="E19" s="266"/>
      <c r="F19" s="266">
        <f>'Operating Cost Estimate'!$P$62/100</f>
        <v>729366.2399999999</v>
      </c>
      <c r="G19" s="266">
        <f>'Operating Cost Estimate'!$P$63/100</f>
        <v>61452.469999999994</v>
      </c>
      <c r="H19" s="266">
        <f>('Operating Cost Estimate'!$P$65*(4/412))</f>
        <v>90417.33398058251</v>
      </c>
      <c r="I19" s="266">
        <f>'Operating Cost Estimate'!P51</f>
        <v>4084375</v>
      </c>
      <c r="J19" s="271">
        <f t="shared" si="0"/>
        <v>4965611.043980583</v>
      </c>
      <c r="K19" s="304">
        <f t="shared" si="2"/>
        <v>6673365.01545757</v>
      </c>
      <c r="L19" s="305">
        <f t="shared" si="1"/>
        <v>4057265.753617015</v>
      </c>
    </row>
    <row r="20" spans="1:12" ht="12.75">
      <c r="A20" s="190">
        <f t="shared" si="3"/>
        <v>11</v>
      </c>
      <c r="B20" s="266"/>
      <c r="C20" s="266"/>
      <c r="D20" s="266"/>
      <c r="E20" s="266"/>
      <c r="F20" s="266">
        <f>'Operating Cost Estimate'!$P$62/100</f>
        <v>729366.2399999999</v>
      </c>
      <c r="G20" s="266">
        <f>'Operating Cost Estimate'!$P$63/100</f>
        <v>61452.469999999994</v>
      </c>
      <c r="H20" s="266">
        <f>('Operating Cost Estimate'!$P$65*(4/412))</f>
        <v>90417.33398058251</v>
      </c>
      <c r="I20" s="266"/>
      <c r="J20" s="271">
        <f t="shared" si="0"/>
        <v>881236.0439805824</v>
      </c>
      <c r="K20" s="304">
        <f t="shared" si="2"/>
        <v>1219835.7801811392</v>
      </c>
      <c r="L20" s="305">
        <f t="shared" si="1"/>
        <v>705633.327825978</v>
      </c>
    </row>
    <row r="21" spans="1:12" ht="12.75">
      <c r="A21" s="190">
        <f t="shared" si="3"/>
        <v>12</v>
      </c>
      <c r="B21" s="266"/>
      <c r="C21" s="266"/>
      <c r="D21" s="266"/>
      <c r="E21" s="266"/>
      <c r="F21" s="266">
        <f>'Operating Cost Estimate'!$P$62/100</f>
        <v>729366.2399999999</v>
      </c>
      <c r="G21" s="266">
        <f>'Operating Cost Estimate'!$P$63/100</f>
        <v>61452.469999999994</v>
      </c>
      <c r="H21" s="266">
        <f>('Operating Cost Estimate'!$P$65*(4/412))</f>
        <v>90417.33398058251</v>
      </c>
      <c r="I21" s="266"/>
      <c r="J21" s="271">
        <f t="shared" si="0"/>
        <v>881236.0439805824</v>
      </c>
      <c r="K21" s="304">
        <f t="shared" si="2"/>
        <v>1256430.8835865732</v>
      </c>
      <c r="L21" s="305">
        <f t="shared" si="1"/>
        <v>691520.6612694585</v>
      </c>
    </row>
    <row r="22" spans="1:12" ht="12.75">
      <c r="A22" s="190">
        <f t="shared" si="3"/>
        <v>13</v>
      </c>
      <c r="B22" s="266"/>
      <c r="C22" s="266"/>
      <c r="D22" s="266"/>
      <c r="E22" s="266"/>
      <c r="F22" s="266">
        <f>'Operating Cost Estimate'!$P$62/100</f>
        <v>729366.2399999999</v>
      </c>
      <c r="G22" s="266">
        <f>'Operating Cost Estimate'!$P$63/100</f>
        <v>61452.469999999994</v>
      </c>
      <c r="H22" s="266">
        <f>('Operating Cost Estimate'!$P$65*(4/412))</f>
        <v>90417.33398058251</v>
      </c>
      <c r="I22" s="266"/>
      <c r="J22" s="271">
        <f t="shared" si="0"/>
        <v>881236.0439805824</v>
      </c>
      <c r="K22" s="304">
        <f t="shared" si="2"/>
        <v>1294123.8400941703</v>
      </c>
      <c r="L22" s="305">
        <f t="shared" si="1"/>
        <v>677690.2480440693</v>
      </c>
    </row>
    <row r="23" spans="1:12" ht="12.75">
      <c r="A23" s="190">
        <f t="shared" si="3"/>
        <v>14</v>
      </c>
      <c r="B23" s="266"/>
      <c r="C23" s="266"/>
      <c r="D23" s="266"/>
      <c r="E23" s="266"/>
      <c r="F23" s="266">
        <f>'Operating Cost Estimate'!$P$62/100</f>
        <v>729366.2399999999</v>
      </c>
      <c r="G23" s="266">
        <f>'Operating Cost Estimate'!$P$63/100</f>
        <v>61452.469999999994</v>
      </c>
      <c r="H23" s="266">
        <f>('Operating Cost Estimate'!$P$65*(4/412))+('Operating Cost Estimate'!$P$66/21)+('Operating Cost Estimate'!$P$67/20)</f>
        <v>159407.12717105867</v>
      </c>
      <c r="I23" s="266"/>
      <c r="J23" s="271">
        <f t="shared" si="0"/>
        <v>950225.8371710585</v>
      </c>
      <c r="K23" s="304">
        <f t="shared" si="2"/>
        <v>1437300.837596789</v>
      </c>
      <c r="L23" s="305">
        <f t="shared" si="1"/>
        <v>716130.0447652102</v>
      </c>
    </row>
    <row r="24" spans="1:12" ht="12.75">
      <c r="A24" s="190">
        <f t="shared" si="3"/>
        <v>15</v>
      </c>
      <c r="B24" s="266"/>
      <c r="C24" s="266"/>
      <c r="D24" s="266"/>
      <c r="E24" s="266"/>
      <c r="F24" s="266">
        <f>'Operating Cost Estimate'!$P$62/100</f>
        <v>729366.2399999999</v>
      </c>
      <c r="G24" s="266">
        <f>'Operating Cost Estimate'!$P$63/100</f>
        <v>61452.469999999994</v>
      </c>
      <c r="H24" s="266">
        <f>('Operating Cost Estimate'!$P$65*(4/412))</f>
        <v>90417.33398058251</v>
      </c>
      <c r="I24" s="266"/>
      <c r="J24" s="271">
        <f t="shared" si="0"/>
        <v>881236.0439805824</v>
      </c>
      <c r="K24" s="304">
        <f t="shared" si="2"/>
        <v>1372936.0428559056</v>
      </c>
      <c r="L24" s="305">
        <f t="shared" si="1"/>
        <v>650853.7142215241</v>
      </c>
    </row>
    <row r="25" spans="1:12" ht="12.75">
      <c r="A25" s="190">
        <f t="shared" si="3"/>
        <v>16</v>
      </c>
      <c r="B25" s="266"/>
      <c r="C25" s="266"/>
      <c r="D25" s="266"/>
      <c r="E25" s="266"/>
      <c r="F25" s="266">
        <f>'Operating Cost Estimate'!$P$62/100</f>
        <v>729366.2399999999</v>
      </c>
      <c r="G25" s="266">
        <f>'Operating Cost Estimate'!$P$63/100</f>
        <v>61452.469999999994</v>
      </c>
      <c r="H25" s="266">
        <f>('Operating Cost Estimate'!$P$65*(4/412))</f>
        <v>90417.33398058251</v>
      </c>
      <c r="I25" s="266"/>
      <c r="J25" s="271">
        <f t="shared" si="0"/>
        <v>881236.0439805824</v>
      </c>
      <c r="K25" s="304">
        <f t="shared" si="2"/>
        <v>1414124.1541415825</v>
      </c>
      <c r="L25" s="305">
        <f t="shared" si="1"/>
        <v>637836.6399370936</v>
      </c>
    </row>
    <row r="26" spans="1:12" ht="12.75">
      <c r="A26" s="190">
        <f t="shared" si="3"/>
        <v>17</v>
      </c>
      <c r="B26" s="266"/>
      <c r="C26" s="266"/>
      <c r="D26" s="266"/>
      <c r="E26" s="266"/>
      <c r="F26" s="266">
        <f>'Operating Cost Estimate'!$P$62/100</f>
        <v>729366.2399999999</v>
      </c>
      <c r="G26" s="266">
        <f>'Operating Cost Estimate'!$P$63/100</f>
        <v>61452.469999999994</v>
      </c>
      <c r="H26" s="266">
        <f>('Operating Cost Estimate'!$P$65*(4/412))</f>
        <v>90417.33398058251</v>
      </c>
      <c r="I26" s="266"/>
      <c r="J26" s="271">
        <f t="shared" si="0"/>
        <v>881236.0439805824</v>
      </c>
      <c r="K26" s="304">
        <f t="shared" si="2"/>
        <v>1456547.9087658299</v>
      </c>
      <c r="L26" s="305">
        <f t="shared" si="1"/>
        <v>625079.9071383517</v>
      </c>
    </row>
    <row r="27" spans="1:12" ht="12.75">
      <c r="A27" s="190">
        <f t="shared" si="3"/>
        <v>18</v>
      </c>
      <c r="B27" s="266"/>
      <c r="C27" s="266"/>
      <c r="D27" s="266"/>
      <c r="E27" s="266"/>
      <c r="F27" s="266">
        <f>'Operating Cost Estimate'!$P$62/100</f>
        <v>729366.2399999999</v>
      </c>
      <c r="G27" s="266">
        <f>'Operating Cost Estimate'!$P$63/100</f>
        <v>61452.469999999994</v>
      </c>
      <c r="H27" s="266">
        <f>('Operating Cost Estimate'!$P$65*(4/412))</f>
        <v>90417.33398058251</v>
      </c>
      <c r="I27" s="266"/>
      <c r="J27" s="271">
        <f t="shared" si="0"/>
        <v>881236.0439805824</v>
      </c>
      <c r="K27" s="304">
        <f t="shared" si="2"/>
        <v>1500244.3760288048</v>
      </c>
      <c r="L27" s="305">
        <f t="shared" si="1"/>
        <v>612578.3089955847</v>
      </c>
    </row>
    <row r="28" spans="1:12" ht="12.75">
      <c r="A28" s="190">
        <f t="shared" si="3"/>
        <v>19</v>
      </c>
      <c r="B28" s="266"/>
      <c r="C28" s="266"/>
      <c r="D28" s="266"/>
      <c r="E28" s="266"/>
      <c r="F28" s="266">
        <f>'Operating Cost Estimate'!$P$62/100</f>
        <v>729366.2399999999</v>
      </c>
      <c r="G28" s="266">
        <f>'Operating Cost Estimate'!$P$63/100</f>
        <v>61452.469999999994</v>
      </c>
      <c r="H28" s="266">
        <f>('Operating Cost Estimate'!$P$65*(4/412))+('Operating Cost Estimate'!$P$66/21)+('Operating Cost Estimate'!$P$67/20)</f>
        <v>159407.12717105867</v>
      </c>
      <c r="I28" s="266"/>
      <c r="J28" s="271">
        <f t="shared" si="0"/>
        <v>950225.8371710585</v>
      </c>
      <c r="K28" s="304">
        <f t="shared" si="2"/>
        <v>1666225.757269706</v>
      </c>
      <c r="L28" s="305">
        <f t="shared" si="1"/>
        <v>647324.8406765885</v>
      </c>
    </row>
    <row r="29" spans="1:12" ht="12.75">
      <c r="A29" s="190">
        <f t="shared" si="3"/>
        <v>20</v>
      </c>
      <c r="B29" s="266"/>
      <c r="C29" s="266"/>
      <c r="D29" s="266"/>
      <c r="E29" s="266"/>
      <c r="F29" s="266">
        <f>'Operating Cost Estimate'!$P$62/100</f>
        <v>729366.2399999999</v>
      </c>
      <c r="G29" s="266">
        <f>'Operating Cost Estimate'!$P$63/100</f>
        <v>61452.469999999994</v>
      </c>
      <c r="H29" s="266">
        <f>('Operating Cost Estimate'!$P$65*(4/412))</f>
        <v>90417.33398058251</v>
      </c>
      <c r="I29" s="266">
        <f>'Operating Cost Estimate'!P52</f>
        <v>4084375</v>
      </c>
      <c r="J29" s="271">
        <f t="shared" si="0"/>
        <v>4965611.043980583</v>
      </c>
      <c r="K29" s="304">
        <f t="shared" si="2"/>
        <v>8968444.893531844</v>
      </c>
      <c r="L29" s="305">
        <f t="shared" si="1"/>
        <v>3315081.517596572</v>
      </c>
    </row>
    <row r="30" spans="1:12" ht="12.75">
      <c r="A30" s="190">
        <f t="shared" si="3"/>
        <v>21</v>
      </c>
      <c r="B30" s="266"/>
      <c r="C30" s="266"/>
      <c r="D30" s="266"/>
      <c r="E30" s="266"/>
      <c r="F30" s="266">
        <f>'Operating Cost Estimate'!$P$62/100</f>
        <v>729366.2399999999</v>
      </c>
      <c r="G30" s="266">
        <f>'Operating Cost Estimate'!$P$63/100</f>
        <v>61452.469999999994</v>
      </c>
      <c r="H30" s="266">
        <f>('Operating Cost Estimate'!$P$65*(4/412))</f>
        <v>90417.33398058251</v>
      </c>
      <c r="I30" s="266"/>
      <c r="J30" s="271">
        <f t="shared" si="0"/>
        <v>881236.0439805824</v>
      </c>
      <c r="K30" s="304">
        <f t="shared" si="2"/>
        <v>1639357.6290118275</v>
      </c>
      <c r="L30" s="305">
        <f t="shared" si="1"/>
        <v>576553.8038001723</v>
      </c>
    </row>
    <row r="31" spans="1:12" ht="12.75">
      <c r="A31" s="190">
        <f t="shared" si="3"/>
        <v>22</v>
      </c>
      <c r="B31" s="266"/>
      <c r="C31" s="266"/>
      <c r="D31" s="266"/>
      <c r="E31" s="266"/>
      <c r="F31" s="266">
        <f>'Operating Cost Estimate'!$P$62/100</f>
        <v>729366.2399999999</v>
      </c>
      <c r="G31" s="266">
        <f>'Operating Cost Estimate'!$P$63/100</f>
        <v>61452.469999999994</v>
      </c>
      <c r="H31" s="266">
        <f>('Operating Cost Estimate'!$P$65*(4/412))</f>
        <v>90417.33398058251</v>
      </c>
      <c r="I31" s="266"/>
      <c r="J31" s="271">
        <f t="shared" si="0"/>
        <v>881236.0439805824</v>
      </c>
      <c r="K31" s="304">
        <f t="shared" si="2"/>
        <v>1688538.3878821826</v>
      </c>
      <c r="L31" s="305">
        <f t="shared" si="1"/>
        <v>565022.7277241688</v>
      </c>
    </row>
    <row r="32" spans="1:12" ht="12.75">
      <c r="A32" s="190">
        <f t="shared" si="3"/>
        <v>23</v>
      </c>
      <c r="B32" s="266"/>
      <c r="C32" s="266"/>
      <c r="D32" s="266"/>
      <c r="E32" s="266"/>
      <c r="F32" s="266">
        <f>'Operating Cost Estimate'!$P$62/100</f>
        <v>729366.2399999999</v>
      </c>
      <c r="G32" s="266">
        <f>'Operating Cost Estimate'!$P$63/100</f>
        <v>61452.469999999994</v>
      </c>
      <c r="H32" s="266">
        <f>('Operating Cost Estimate'!$P$65*(4/412))</f>
        <v>90417.33398058251</v>
      </c>
      <c r="I32" s="266"/>
      <c r="J32" s="271">
        <f t="shared" si="0"/>
        <v>881236.0439805824</v>
      </c>
      <c r="K32" s="304">
        <f t="shared" si="2"/>
        <v>1739194.569518648</v>
      </c>
      <c r="L32" s="305">
        <f t="shared" si="1"/>
        <v>553722.2731696854</v>
      </c>
    </row>
    <row r="33" spans="1:12" ht="12.75">
      <c r="A33" s="190">
        <f t="shared" si="3"/>
        <v>24</v>
      </c>
      <c r="B33" s="266"/>
      <c r="C33" s="266"/>
      <c r="D33" s="266"/>
      <c r="E33" s="266"/>
      <c r="F33" s="266">
        <f>'Operating Cost Estimate'!$P$62/100</f>
        <v>729366.2399999999</v>
      </c>
      <c r="G33" s="266">
        <f>'Operating Cost Estimate'!$P$63/100</f>
        <v>61452.469999999994</v>
      </c>
      <c r="H33" s="266">
        <f>('Operating Cost Estimate'!$P$65*(4/412))+('Operating Cost Estimate'!$P$66/21)+('Operating Cost Estimate'!$P$67/20)</f>
        <v>159407.12717105867</v>
      </c>
      <c r="I33" s="266"/>
      <c r="J33" s="271">
        <f t="shared" si="0"/>
        <v>950225.8371710585</v>
      </c>
      <c r="K33" s="304">
        <f t="shared" si="2"/>
        <v>1931612.481607729</v>
      </c>
      <c r="L33" s="305">
        <f t="shared" si="1"/>
        <v>585130.3857728149</v>
      </c>
    </row>
    <row r="34" spans="1:12" ht="12.75">
      <c r="A34" s="190">
        <f t="shared" si="3"/>
        <v>25</v>
      </c>
      <c r="B34" s="266"/>
      <c r="C34" s="266"/>
      <c r="D34" s="266"/>
      <c r="E34" s="266"/>
      <c r="F34" s="266">
        <f>'Operating Cost Estimate'!$P$62/100</f>
        <v>729366.2399999999</v>
      </c>
      <c r="G34" s="266">
        <f>'Operating Cost Estimate'!$P$63/100</f>
        <v>61452.469999999994</v>
      </c>
      <c r="H34" s="266">
        <f>('Operating Cost Estimate'!$P$65*(4/412))</f>
        <v>90417.33398058251</v>
      </c>
      <c r="I34" s="266"/>
      <c r="J34" s="271">
        <f t="shared" si="0"/>
        <v>881236.0439805824</v>
      </c>
      <c r="K34" s="304">
        <f t="shared" si="2"/>
        <v>1845111.5797023335</v>
      </c>
      <c r="L34" s="305">
        <f t="shared" si="1"/>
        <v>531794.8711521658</v>
      </c>
    </row>
    <row r="35" spans="1:12" ht="12.75">
      <c r="A35" s="190">
        <f t="shared" si="3"/>
        <v>26</v>
      </c>
      <c r="B35" s="266"/>
      <c r="C35" s="266"/>
      <c r="D35" s="266"/>
      <c r="E35" s="266"/>
      <c r="F35" s="266">
        <f>'Operating Cost Estimate'!$P$62/100</f>
        <v>729366.2399999999</v>
      </c>
      <c r="G35" s="266">
        <f>'Operating Cost Estimate'!$P$63/100</f>
        <v>61452.469999999994</v>
      </c>
      <c r="H35" s="266">
        <f>('Operating Cost Estimate'!$P$65*(4/412))</f>
        <v>90417.33398058251</v>
      </c>
      <c r="I35" s="266"/>
      <c r="J35" s="271">
        <f t="shared" si="0"/>
        <v>881236.0439805824</v>
      </c>
      <c r="K35" s="304">
        <f t="shared" si="2"/>
        <v>1900464.957093404</v>
      </c>
      <c r="L35" s="305">
        <f t="shared" si="1"/>
        <v>521158.9737291225</v>
      </c>
    </row>
    <row r="36" spans="1:12" ht="12.75">
      <c r="A36" s="190">
        <f t="shared" si="3"/>
        <v>27</v>
      </c>
      <c r="B36" s="266"/>
      <c r="C36" s="266"/>
      <c r="D36" s="266"/>
      <c r="E36" s="266"/>
      <c r="F36" s="266">
        <f>'Operating Cost Estimate'!$P$62/100</f>
        <v>729366.2399999999</v>
      </c>
      <c r="G36" s="266">
        <f>'Operating Cost Estimate'!$P$63/100</f>
        <v>61452.469999999994</v>
      </c>
      <c r="H36" s="266">
        <f>('Operating Cost Estimate'!$P$65*(4/412))</f>
        <v>90417.33398058251</v>
      </c>
      <c r="I36" s="266"/>
      <c r="J36" s="271">
        <f t="shared" si="0"/>
        <v>881236.0439805824</v>
      </c>
      <c r="K36" s="304">
        <f t="shared" si="2"/>
        <v>1957478.9358062057</v>
      </c>
      <c r="L36" s="305">
        <f t="shared" si="1"/>
        <v>510735.79425454</v>
      </c>
    </row>
    <row r="37" spans="1:12" ht="12.75">
      <c r="A37" s="190">
        <f t="shared" si="3"/>
        <v>28</v>
      </c>
      <c r="B37" s="266"/>
      <c r="C37" s="266"/>
      <c r="D37" s="266"/>
      <c r="E37" s="266"/>
      <c r="F37" s="266">
        <f>'Operating Cost Estimate'!$P$62/100</f>
        <v>729366.2399999999</v>
      </c>
      <c r="G37" s="266">
        <f>'Operating Cost Estimate'!$P$63/100</f>
        <v>61452.469999999994</v>
      </c>
      <c r="H37" s="266">
        <f>('Operating Cost Estimate'!$P$65*(4/412))</f>
        <v>90417.33398058251</v>
      </c>
      <c r="I37" s="266"/>
      <c r="J37" s="271">
        <f t="shared" si="0"/>
        <v>881236.0439805824</v>
      </c>
      <c r="K37" s="304">
        <f t="shared" si="2"/>
        <v>2016203.333880392</v>
      </c>
      <c r="L37" s="305">
        <f t="shared" si="1"/>
        <v>500521.0783694492</v>
      </c>
    </row>
    <row r="38" spans="1:12" ht="12.75">
      <c r="A38" s="190">
        <f t="shared" si="3"/>
        <v>29</v>
      </c>
      <c r="B38" s="266"/>
      <c r="C38" s="266"/>
      <c r="D38" s="266"/>
      <c r="E38" s="266"/>
      <c r="F38" s="266">
        <f>'Operating Cost Estimate'!$P$62/100</f>
        <v>729366.2399999999</v>
      </c>
      <c r="G38" s="266">
        <f>'Operating Cost Estimate'!$P$63/100</f>
        <v>61452.469999999994</v>
      </c>
      <c r="H38" s="266">
        <f>('Operating Cost Estimate'!$P$65*(4/412))+('Operating Cost Estimate'!$P$66/21)+('Operating Cost Estimate'!$P$67/20)</f>
        <v>159407.12717105867</v>
      </c>
      <c r="I38" s="266"/>
      <c r="J38" s="271">
        <f t="shared" si="0"/>
        <v>950225.8371710585</v>
      </c>
      <c r="K38" s="304">
        <f t="shared" si="2"/>
        <v>2239268.4307962</v>
      </c>
      <c r="L38" s="305">
        <f t="shared" si="1"/>
        <v>528911.524539654</v>
      </c>
    </row>
    <row r="39" spans="1:12" ht="12.75">
      <c r="A39" s="190">
        <f t="shared" si="3"/>
        <v>30</v>
      </c>
      <c r="B39" s="266"/>
      <c r="C39" s="266"/>
      <c r="D39" s="266"/>
      <c r="E39" s="266"/>
      <c r="F39" s="266">
        <f>'Operating Cost Estimate'!$P$62/100</f>
        <v>729366.2399999999</v>
      </c>
      <c r="G39" s="266">
        <f>'Operating Cost Estimate'!$P$63/100</f>
        <v>61452.469999999994</v>
      </c>
      <c r="H39" s="266">
        <f>('Operating Cost Estimate'!$P$65*(4/412))</f>
        <v>90417.33398058251</v>
      </c>
      <c r="I39" s="266"/>
      <c r="J39" s="271">
        <f t="shared" si="0"/>
        <v>881236.0439805824</v>
      </c>
      <c r="K39" s="306">
        <f t="shared" si="2"/>
        <v>2138990.1778137074</v>
      </c>
      <c r="L39" s="305">
        <f t="shared" si="1"/>
        <v>480700.443666019</v>
      </c>
    </row>
    <row r="40" spans="1:12" ht="12.75">
      <c r="A40" s="190">
        <f t="shared" si="3"/>
        <v>31</v>
      </c>
      <c r="B40" s="266"/>
      <c r="C40" s="266"/>
      <c r="D40" s="266"/>
      <c r="E40" s="266"/>
      <c r="F40" s="266">
        <f>'Operating Cost Estimate'!$P$62/100</f>
        <v>729366.2399999999</v>
      </c>
      <c r="G40" s="266">
        <f>'Operating Cost Estimate'!$P$63/100</f>
        <v>61452.469999999994</v>
      </c>
      <c r="H40" s="266">
        <f>('Operating Cost Estimate'!$P$65*(4/412))</f>
        <v>90417.33398058251</v>
      </c>
      <c r="I40" s="266"/>
      <c r="J40" s="271">
        <f t="shared" si="0"/>
        <v>881236.0439805824</v>
      </c>
      <c r="K40" s="306">
        <f t="shared" si="2"/>
        <v>2203159.913148119</v>
      </c>
      <c r="L40" s="305">
        <f t="shared" si="1"/>
        <v>471086.4347926986</v>
      </c>
    </row>
    <row r="41" spans="1:12" ht="12.75">
      <c r="A41" s="190">
        <f t="shared" si="3"/>
        <v>32</v>
      </c>
      <c r="B41" s="266"/>
      <c r="C41" s="266"/>
      <c r="D41" s="266"/>
      <c r="E41" s="266"/>
      <c r="F41" s="266">
        <f>'Operating Cost Estimate'!$P$62/100</f>
        <v>729366.2399999999</v>
      </c>
      <c r="G41" s="266">
        <f>'Operating Cost Estimate'!$P$63/100</f>
        <v>61452.469999999994</v>
      </c>
      <c r="H41" s="266">
        <f>('Operating Cost Estimate'!$P$65*(4/412))</f>
        <v>90417.33398058251</v>
      </c>
      <c r="I41" s="266"/>
      <c r="J41" s="271">
        <f t="shared" si="0"/>
        <v>881236.0439805824</v>
      </c>
      <c r="K41" s="306">
        <f t="shared" si="2"/>
        <v>2269254.740542562</v>
      </c>
      <c r="L41" s="305">
        <f t="shared" si="1"/>
        <v>461664.70609684463</v>
      </c>
    </row>
    <row r="42" spans="1:12" ht="12.75">
      <c r="A42" s="190">
        <f t="shared" si="3"/>
        <v>33</v>
      </c>
      <c r="B42" s="266"/>
      <c r="C42" s="266"/>
      <c r="D42" s="266"/>
      <c r="E42" s="266"/>
      <c r="F42" s="266">
        <f>'Operating Cost Estimate'!$P$62/100</f>
        <v>729366.2399999999</v>
      </c>
      <c r="G42" s="266">
        <f>'Operating Cost Estimate'!$P$63/100</f>
        <v>61452.469999999994</v>
      </c>
      <c r="H42" s="266">
        <f>('Operating Cost Estimate'!$P$65*(4/412))</f>
        <v>90417.33398058251</v>
      </c>
      <c r="I42" s="266"/>
      <c r="J42" s="271">
        <f t="shared" si="0"/>
        <v>881236.0439805824</v>
      </c>
      <c r="K42" s="306">
        <f t="shared" si="2"/>
        <v>2337332.4127588393</v>
      </c>
      <c r="L42" s="305">
        <f t="shared" si="1"/>
        <v>452431.41197490774</v>
      </c>
    </row>
    <row r="43" spans="1:12" ht="12.75">
      <c r="A43" s="190">
        <f t="shared" si="3"/>
        <v>34</v>
      </c>
      <c r="B43" s="266"/>
      <c r="C43" s="266"/>
      <c r="D43" s="266"/>
      <c r="E43" s="266"/>
      <c r="F43" s="266">
        <f>'Operating Cost Estimate'!$P$62/100</f>
        <v>729366.2399999999</v>
      </c>
      <c r="G43" s="266">
        <f>'Operating Cost Estimate'!$P$63/100</f>
        <v>61452.469999999994</v>
      </c>
      <c r="H43" s="266">
        <f>('Operating Cost Estimate'!$P$65*(4/412))+('Operating Cost Estimate'!$P$66/21)+('Operating Cost Estimate'!$P$67/20)</f>
        <v>159407.12717105867</v>
      </c>
      <c r="I43" s="266"/>
      <c r="J43" s="271">
        <f t="shared" si="0"/>
        <v>950225.8371710585</v>
      </c>
      <c r="K43" s="306">
        <f t="shared" si="2"/>
        <v>2595925.9964945526</v>
      </c>
      <c r="L43" s="305">
        <f t="shared" si="1"/>
        <v>478094.1266985868</v>
      </c>
    </row>
    <row r="44" spans="1:12" ht="12.75">
      <c r="A44" s="190">
        <f t="shared" si="3"/>
        <v>35</v>
      </c>
      <c r="B44" s="266"/>
      <c r="C44" s="266"/>
      <c r="D44" s="266"/>
      <c r="E44" s="266"/>
      <c r="F44" s="266">
        <f>'Operating Cost Estimate'!$P$62/100</f>
        <v>729366.2399999999</v>
      </c>
      <c r="G44" s="266">
        <f>'Operating Cost Estimate'!$P$63/100</f>
        <v>61452.469999999994</v>
      </c>
      <c r="H44" s="266">
        <f>('Operating Cost Estimate'!$P$65*(4/412))</f>
        <v>90417.33398058251</v>
      </c>
      <c r="I44" s="266"/>
      <c r="J44" s="271">
        <f t="shared" si="0"/>
        <v>881236.0439805824</v>
      </c>
      <c r="K44" s="306">
        <f t="shared" si="2"/>
        <v>2479676.0175958523</v>
      </c>
      <c r="L44" s="305">
        <f t="shared" si="1"/>
        <v>434515.12806070136</v>
      </c>
    </row>
    <row r="45" spans="1:12" ht="12.75">
      <c r="A45" s="190">
        <f t="shared" si="3"/>
        <v>36</v>
      </c>
      <c r="B45" s="266"/>
      <c r="C45" s="266"/>
      <c r="D45" s="266"/>
      <c r="E45" s="266"/>
      <c r="F45" s="266">
        <f>'Operating Cost Estimate'!$P$62/100</f>
        <v>729366.2399999999</v>
      </c>
      <c r="G45" s="266">
        <f>'Operating Cost Estimate'!$P$63/100</f>
        <v>61452.469999999994</v>
      </c>
      <c r="H45" s="266">
        <f>('Operating Cost Estimate'!$P$65*(4/412))</f>
        <v>90417.33398058251</v>
      </c>
      <c r="I45" s="266"/>
      <c r="J45" s="271">
        <f t="shared" si="0"/>
        <v>881236.0439805824</v>
      </c>
      <c r="K45" s="306">
        <f t="shared" si="2"/>
        <v>2554066.328123728</v>
      </c>
      <c r="L45" s="305">
        <f t="shared" si="1"/>
        <v>425824.8254994873</v>
      </c>
    </row>
    <row r="46" spans="1:12" ht="12.75">
      <c r="A46" s="190">
        <f t="shared" si="3"/>
        <v>37</v>
      </c>
      <c r="B46" s="266"/>
      <c r="C46" s="266"/>
      <c r="D46" s="266"/>
      <c r="E46" s="266"/>
      <c r="F46" s="266">
        <f>'Operating Cost Estimate'!$P$62/100</f>
        <v>729366.2399999999</v>
      </c>
      <c r="G46" s="266">
        <f>'Operating Cost Estimate'!$P$63/100</f>
        <v>61452.469999999994</v>
      </c>
      <c r="H46" s="266">
        <f>('Operating Cost Estimate'!$P$65*(4/412))</f>
        <v>90417.33398058251</v>
      </c>
      <c r="I46" s="266"/>
      <c r="J46" s="271">
        <f t="shared" si="0"/>
        <v>881236.0439805824</v>
      </c>
      <c r="K46" s="306">
        <f t="shared" si="2"/>
        <v>2630688.3479674393</v>
      </c>
      <c r="L46" s="305">
        <f t="shared" si="1"/>
        <v>417308.3289894975</v>
      </c>
    </row>
    <row r="47" spans="1:12" ht="12.75">
      <c r="A47" s="190">
        <f t="shared" si="3"/>
        <v>38</v>
      </c>
      <c r="B47" s="266"/>
      <c r="C47" s="266"/>
      <c r="D47" s="266"/>
      <c r="E47" s="266"/>
      <c r="F47" s="266">
        <f>'Operating Cost Estimate'!$P$62/100</f>
        <v>729366.2399999999</v>
      </c>
      <c r="G47" s="266">
        <f>'Operating Cost Estimate'!$P$63/100</f>
        <v>61452.469999999994</v>
      </c>
      <c r="H47" s="266">
        <f>('Operating Cost Estimate'!$P$65*(4/412))</f>
        <v>90417.33398058251</v>
      </c>
      <c r="I47" s="266"/>
      <c r="J47" s="271">
        <f t="shared" si="0"/>
        <v>881236.0439805824</v>
      </c>
      <c r="K47" s="306">
        <f t="shared" si="2"/>
        <v>2709609.0284064626</v>
      </c>
      <c r="L47" s="305">
        <f t="shared" si="1"/>
        <v>408962.16240970755</v>
      </c>
    </row>
    <row r="48" spans="1:12" ht="12.75">
      <c r="A48" s="190">
        <f t="shared" si="3"/>
        <v>39</v>
      </c>
      <c r="B48" s="266"/>
      <c r="C48" s="266"/>
      <c r="D48" s="266"/>
      <c r="E48" s="266"/>
      <c r="F48" s="266">
        <f>'Operating Cost Estimate'!$P$62/100</f>
        <v>729366.2399999999</v>
      </c>
      <c r="G48" s="266">
        <f>'Operating Cost Estimate'!$P$63/100</f>
        <v>61452.469999999994</v>
      </c>
      <c r="H48" s="266">
        <f>('Operating Cost Estimate'!$P$65*(4/412))+('Operating Cost Estimate'!$P$66/21)+('Operating Cost Estimate'!$P$67/20)</f>
        <v>159407.12717105867</v>
      </c>
      <c r="I48" s="266"/>
      <c r="J48" s="271">
        <f t="shared" si="0"/>
        <v>950225.8371710585</v>
      </c>
      <c r="K48" s="306">
        <f t="shared" si="2"/>
        <v>3009389.8658116017</v>
      </c>
      <c r="L48" s="305">
        <f t="shared" si="1"/>
        <v>432159.22395078663</v>
      </c>
    </row>
    <row r="49" spans="1:12" ht="12.75">
      <c r="A49" s="190">
        <f t="shared" si="3"/>
        <v>40</v>
      </c>
      <c r="B49" s="266"/>
      <c r="C49" s="266"/>
      <c r="D49" s="266"/>
      <c r="E49" s="266"/>
      <c r="F49" s="266">
        <f>'Operating Cost Estimate'!$P$62/100</f>
        <v>729366.2399999999</v>
      </c>
      <c r="G49" s="266">
        <f>'Operating Cost Estimate'!$P$63/100</f>
        <v>61452.469999999994</v>
      </c>
      <c r="H49" s="266">
        <f>('Operating Cost Estimate'!$P$65*(4/412))</f>
        <v>90417.33398058251</v>
      </c>
      <c r="I49" s="266">
        <f>'Operating Cost Estimate'!P53</f>
        <v>8168750</v>
      </c>
      <c r="J49" s="271">
        <f t="shared" si="0"/>
        <v>9049986.043980582</v>
      </c>
      <c r="K49" s="306">
        <f t="shared" si="2"/>
        <v>29521395.492528833</v>
      </c>
      <c r="L49" s="305">
        <f t="shared" si="1"/>
        <v>4033582.435552609</v>
      </c>
    </row>
    <row r="50" spans="1:12" ht="12.75">
      <c r="A50" s="190">
        <f t="shared" si="3"/>
        <v>41</v>
      </c>
      <c r="B50" s="266"/>
      <c r="C50" s="266"/>
      <c r="D50" s="266"/>
      <c r="E50" s="266"/>
      <c r="F50" s="266">
        <f>'Operating Cost Estimate'!$P$62/100</f>
        <v>729366.2399999999</v>
      </c>
      <c r="G50" s="266">
        <f>'Operating Cost Estimate'!$P$63/100</f>
        <v>61452.469999999994</v>
      </c>
      <c r="H50" s="266">
        <f>('Operating Cost Estimate'!$P$65*(4/412))</f>
        <v>90417.33398058251</v>
      </c>
      <c r="I50" s="266"/>
      <c r="J50" s="271">
        <f t="shared" si="0"/>
        <v>881236.0439805824</v>
      </c>
      <c r="K50" s="306">
        <f t="shared" si="2"/>
        <v>2960863.0375105087</v>
      </c>
      <c r="L50" s="305">
        <f t="shared" si="1"/>
        <v>384911.9155627175</v>
      </c>
    </row>
    <row r="51" spans="1:12" ht="12.75">
      <c r="A51" s="190">
        <f t="shared" si="3"/>
        <v>42</v>
      </c>
      <c r="B51" s="266"/>
      <c r="C51" s="266"/>
      <c r="D51" s="266"/>
      <c r="E51" s="266"/>
      <c r="F51" s="266">
        <f>'Operating Cost Estimate'!$P$62/100</f>
        <v>729366.2399999999</v>
      </c>
      <c r="G51" s="266">
        <f>'Operating Cost Estimate'!$P$63/100</f>
        <v>61452.469999999994</v>
      </c>
      <c r="H51" s="266">
        <f>('Operating Cost Estimate'!$P$65*(4/412))</f>
        <v>90417.33398058251</v>
      </c>
      <c r="I51" s="266"/>
      <c r="J51" s="271">
        <f t="shared" si="0"/>
        <v>881236.0439805824</v>
      </c>
      <c r="K51" s="306">
        <f t="shared" si="2"/>
        <v>3049688.9586358243</v>
      </c>
      <c r="L51" s="305">
        <f t="shared" si="1"/>
        <v>377213.6772514631</v>
      </c>
    </row>
    <row r="52" spans="1:12" ht="12.75">
      <c r="A52" s="190">
        <f t="shared" si="3"/>
        <v>43</v>
      </c>
      <c r="B52" s="266"/>
      <c r="C52" s="266"/>
      <c r="D52" s="266"/>
      <c r="E52" s="266"/>
      <c r="F52" s="266">
        <f>'Operating Cost Estimate'!$P$62/100</f>
        <v>729366.2399999999</v>
      </c>
      <c r="G52" s="266">
        <f>'Operating Cost Estimate'!$P$63/100</f>
        <v>61452.469999999994</v>
      </c>
      <c r="H52" s="266">
        <f>('Operating Cost Estimate'!$P$65*(4/412))</f>
        <v>90417.33398058251</v>
      </c>
      <c r="I52" s="266"/>
      <c r="J52" s="271">
        <f t="shared" si="0"/>
        <v>881236.0439805824</v>
      </c>
      <c r="K52" s="306">
        <f t="shared" si="2"/>
        <v>3141179.6573948986</v>
      </c>
      <c r="L52" s="305">
        <f t="shared" si="1"/>
        <v>369669.40370643383</v>
      </c>
    </row>
    <row r="53" spans="1:12" ht="12.75">
      <c r="A53" s="190">
        <f t="shared" si="3"/>
        <v>44</v>
      </c>
      <c r="B53" s="266"/>
      <c r="C53" s="266"/>
      <c r="D53" s="266"/>
      <c r="E53" s="266"/>
      <c r="F53" s="266">
        <f>'Operating Cost Estimate'!$P$62/100</f>
        <v>729366.2399999999</v>
      </c>
      <c r="G53" s="266">
        <f>'Operating Cost Estimate'!$P$63/100</f>
        <v>61452.469999999994</v>
      </c>
      <c r="H53" s="266">
        <f>('Operating Cost Estimate'!$P$65*(4/412))+('Operating Cost Estimate'!$P$66/21)+('Operating Cost Estimate'!$P$67/20)</f>
        <v>159407.12717105867</v>
      </c>
      <c r="I53" s="266"/>
      <c r="J53" s="271">
        <f t="shared" si="0"/>
        <v>950225.8371710585</v>
      </c>
      <c r="K53" s="306">
        <f t="shared" si="2"/>
        <v>3488707.8101706197</v>
      </c>
      <c r="L53" s="305">
        <f t="shared" si="1"/>
        <v>390637.7100580646</v>
      </c>
    </row>
    <row r="54" spans="1:12" ht="12.75">
      <c r="A54" s="190">
        <f t="shared" si="3"/>
        <v>45</v>
      </c>
      <c r="B54" s="266"/>
      <c r="C54" s="266"/>
      <c r="D54" s="266"/>
      <c r="E54" s="266"/>
      <c r="F54" s="266">
        <f>'Operating Cost Estimate'!$P$62/100</f>
        <v>729366.2399999999</v>
      </c>
      <c r="G54" s="266">
        <f>'Operating Cost Estimate'!$P$63/100</f>
        <v>61452.469999999994</v>
      </c>
      <c r="H54" s="266">
        <f>('Operating Cost Estimate'!$P$65*(4/412))</f>
        <v>90417.33398058251</v>
      </c>
      <c r="I54" s="266"/>
      <c r="J54" s="271">
        <f t="shared" si="0"/>
        <v>881236.0439805824</v>
      </c>
      <c r="K54" s="306">
        <f t="shared" si="2"/>
        <v>3332477.5594302476</v>
      </c>
      <c r="L54" s="305">
        <f t="shared" si="1"/>
        <v>355030.495319659</v>
      </c>
    </row>
    <row r="55" spans="1:12" ht="12.75">
      <c r="A55" s="190">
        <f t="shared" si="3"/>
        <v>46</v>
      </c>
      <c r="B55" s="266"/>
      <c r="C55" s="266"/>
      <c r="D55" s="266"/>
      <c r="E55" s="266"/>
      <c r="F55" s="266">
        <f>'Operating Cost Estimate'!$P$62/100</f>
        <v>729366.2399999999</v>
      </c>
      <c r="G55" s="266">
        <f>'Operating Cost Estimate'!$P$63/100</f>
        <v>61452.469999999994</v>
      </c>
      <c r="H55" s="266">
        <f>('Operating Cost Estimate'!$P$65*(4/412))</f>
        <v>90417.33398058251</v>
      </c>
      <c r="I55" s="267"/>
      <c r="J55" s="271">
        <f t="shared" si="0"/>
        <v>881236.0439805824</v>
      </c>
      <c r="K55" s="306">
        <f t="shared" si="2"/>
        <v>3432451.9162131553</v>
      </c>
      <c r="L55" s="305">
        <f t="shared" si="1"/>
        <v>347929.88541326585</v>
      </c>
    </row>
    <row r="56" spans="1:12" ht="12.75">
      <c r="A56" s="190">
        <f t="shared" si="3"/>
        <v>47</v>
      </c>
      <c r="B56" s="266"/>
      <c r="C56" s="266"/>
      <c r="D56" s="266"/>
      <c r="E56" s="266"/>
      <c r="F56" s="266">
        <f>'Operating Cost Estimate'!$P$62/100</f>
        <v>729366.2399999999</v>
      </c>
      <c r="G56" s="266">
        <f>'Operating Cost Estimate'!$P$63/100</f>
        <v>61452.469999999994</v>
      </c>
      <c r="H56" s="266">
        <f>('Operating Cost Estimate'!$P$65*(4/412))</f>
        <v>90417.33398058251</v>
      </c>
      <c r="I56" s="267"/>
      <c r="J56" s="271">
        <f t="shared" si="0"/>
        <v>881236.0439805824</v>
      </c>
      <c r="K56" s="306">
        <f t="shared" si="2"/>
        <v>3535425.5036995504</v>
      </c>
      <c r="L56" s="305">
        <f t="shared" si="1"/>
        <v>340971.2877050005</v>
      </c>
    </row>
    <row r="57" spans="1:12" ht="12.75">
      <c r="A57" s="190">
        <f t="shared" si="3"/>
        <v>48</v>
      </c>
      <c r="B57" s="266"/>
      <c r="C57" s="266"/>
      <c r="D57" s="266"/>
      <c r="E57" s="266"/>
      <c r="F57" s="266">
        <f>'Operating Cost Estimate'!$P$62/100</f>
        <v>729366.2399999999</v>
      </c>
      <c r="G57" s="266">
        <f>'Operating Cost Estimate'!$P$63/100</f>
        <v>61452.469999999994</v>
      </c>
      <c r="H57" s="266">
        <f>('Operating Cost Estimate'!$P$65*(4/412))</f>
        <v>90417.33398058251</v>
      </c>
      <c r="I57" s="267"/>
      <c r="J57" s="271">
        <f t="shared" si="0"/>
        <v>881236.0439805824</v>
      </c>
      <c r="K57" s="306">
        <f t="shared" si="2"/>
        <v>3641488.2988105365</v>
      </c>
      <c r="L57" s="305">
        <f t="shared" si="1"/>
        <v>334151.86195090046</v>
      </c>
    </row>
    <row r="58" spans="1:12" ht="12.75">
      <c r="A58" s="190">
        <f t="shared" si="3"/>
        <v>49</v>
      </c>
      <c r="B58" s="266"/>
      <c r="C58" s="266"/>
      <c r="D58" s="266"/>
      <c r="E58" s="266"/>
      <c r="F58" s="266">
        <f>'Operating Cost Estimate'!$P$62/100</f>
        <v>729366.2399999999</v>
      </c>
      <c r="G58" s="266">
        <f>'Operating Cost Estimate'!$P$63/100</f>
        <v>61452.469999999994</v>
      </c>
      <c r="H58" s="266">
        <f>('Operating Cost Estimate'!$P$65*(4/412))+('Operating Cost Estimate'!$P$66/21)+('Operating Cost Estimate'!$P$67/20)</f>
        <v>159407.12717105867</v>
      </c>
      <c r="I58" s="267"/>
      <c r="J58" s="271">
        <f t="shared" si="0"/>
        <v>950225.8371710585</v>
      </c>
      <c r="K58" s="306">
        <f t="shared" si="2"/>
        <v>4044368.676412799</v>
      </c>
      <c r="L58" s="305">
        <f t="shared" si="1"/>
        <v>353105.55013581313</v>
      </c>
    </row>
    <row r="59" spans="1:12" ht="12.75">
      <c r="A59" s="190">
        <f t="shared" si="3"/>
        <v>50</v>
      </c>
      <c r="B59" s="266"/>
      <c r="C59" s="266"/>
      <c r="D59" s="266"/>
      <c r="E59" s="266"/>
      <c r="F59" s="266">
        <f>'Operating Cost Estimate'!$P$62/100</f>
        <v>729366.2399999999</v>
      </c>
      <c r="G59" s="266">
        <f>'Operating Cost Estimate'!$P$63/100</f>
        <v>61452.469999999994</v>
      </c>
      <c r="H59" s="266">
        <f>('Operating Cost Estimate'!$P$65*(4/412))</f>
        <v>90417.33398058251</v>
      </c>
      <c r="I59" s="267"/>
      <c r="J59" s="271">
        <f t="shared" si="0"/>
        <v>881236.0439805824</v>
      </c>
      <c r="K59" s="306">
        <f t="shared" si="2"/>
        <v>3863254.9971080977</v>
      </c>
      <c r="L59" s="305">
        <f t="shared" si="1"/>
        <v>320919.44821764476</v>
      </c>
    </row>
    <row r="60" spans="1:12" ht="12.75">
      <c r="A60" s="190">
        <f t="shared" si="3"/>
        <v>51</v>
      </c>
      <c r="B60" s="266"/>
      <c r="C60" s="266"/>
      <c r="D60" s="266"/>
      <c r="E60" s="266"/>
      <c r="F60" s="266">
        <f>'Operating Cost Estimate'!$P$62/100</f>
        <v>729366.2399999999</v>
      </c>
      <c r="G60" s="266">
        <f>'Operating Cost Estimate'!$P$63/100</f>
        <v>61452.469999999994</v>
      </c>
      <c r="H60" s="266">
        <f>('Operating Cost Estimate'!$P$65*(4/412))</f>
        <v>90417.33398058251</v>
      </c>
      <c r="I60" s="267"/>
      <c r="J60" s="271">
        <f t="shared" si="0"/>
        <v>881236.0439805824</v>
      </c>
      <c r="K60" s="306">
        <f t="shared" si="2"/>
        <v>3979152.6770213405</v>
      </c>
      <c r="L60" s="305">
        <f t="shared" si="1"/>
        <v>314501.0592532919</v>
      </c>
    </row>
    <row r="61" spans="1:12" ht="12.75">
      <c r="A61" s="190">
        <f t="shared" si="3"/>
        <v>52</v>
      </c>
      <c r="B61" s="266"/>
      <c r="C61" s="266"/>
      <c r="D61" s="266"/>
      <c r="E61" s="266"/>
      <c r="F61" s="266">
        <f>'Operating Cost Estimate'!$P$62/100</f>
        <v>729366.2399999999</v>
      </c>
      <c r="G61" s="266">
        <f>'Operating Cost Estimate'!$P$63/100</f>
        <v>61452.469999999994</v>
      </c>
      <c r="H61" s="266">
        <f>('Operating Cost Estimate'!$P$65*(4/412))</f>
        <v>90417.33398058251</v>
      </c>
      <c r="I61" s="267"/>
      <c r="J61" s="271">
        <f t="shared" si="0"/>
        <v>881236.0439805824</v>
      </c>
      <c r="K61" s="306">
        <f t="shared" si="2"/>
        <v>4098527.287331981</v>
      </c>
      <c r="L61" s="305">
        <f t="shared" si="1"/>
        <v>308211.0380682261</v>
      </c>
    </row>
    <row r="62" spans="1:12" ht="12.75">
      <c r="A62" s="190">
        <f t="shared" si="3"/>
        <v>53</v>
      </c>
      <c r="B62" s="266"/>
      <c r="C62" s="266"/>
      <c r="D62" s="266"/>
      <c r="E62" s="266"/>
      <c r="F62" s="266">
        <f>'Operating Cost Estimate'!$P$62/100</f>
        <v>729366.2399999999</v>
      </c>
      <c r="G62" s="266">
        <f>'Operating Cost Estimate'!$P$63/100</f>
        <v>61452.469999999994</v>
      </c>
      <c r="H62" s="266">
        <f>('Operating Cost Estimate'!$P$65*(4/412))</f>
        <v>90417.33398058251</v>
      </c>
      <c r="I62" s="267"/>
      <c r="J62" s="271">
        <f t="shared" si="0"/>
        <v>881236.0439805824</v>
      </c>
      <c r="K62" s="306">
        <f t="shared" si="2"/>
        <v>4221483.135951939</v>
      </c>
      <c r="L62" s="305">
        <f t="shared" si="1"/>
        <v>302046.8173068616</v>
      </c>
    </row>
    <row r="63" spans="1:12" ht="12.75">
      <c r="A63" s="190">
        <f t="shared" si="3"/>
        <v>54</v>
      </c>
      <c r="B63" s="266"/>
      <c r="C63" s="266"/>
      <c r="D63" s="266"/>
      <c r="E63" s="266"/>
      <c r="F63" s="266">
        <f>'Operating Cost Estimate'!$P$62/100</f>
        <v>729366.2399999999</v>
      </c>
      <c r="G63" s="266">
        <f>'Operating Cost Estimate'!$P$63/100</f>
        <v>61452.469999999994</v>
      </c>
      <c r="H63" s="266">
        <f>('Operating Cost Estimate'!$P$65*(4/412))+('Operating Cost Estimate'!$P$66/21)+('Operating Cost Estimate'!$P$67/20)</f>
        <v>159407.12717105867</v>
      </c>
      <c r="I63" s="267"/>
      <c r="J63" s="271">
        <f t="shared" si="0"/>
        <v>950225.8371710585</v>
      </c>
      <c r="K63" s="306">
        <f t="shared" si="2"/>
        <v>4688531.912750438</v>
      </c>
      <c r="L63" s="305">
        <f t="shared" si="1"/>
        <v>319179.4502332665</v>
      </c>
    </row>
    <row r="64" spans="1:12" ht="12.75">
      <c r="A64" s="190">
        <f t="shared" si="3"/>
        <v>55</v>
      </c>
      <c r="B64" s="266"/>
      <c r="C64" s="266"/>
      <c r="D64" s="266"/>
      <c r="E64" s="266"/>
      <c r="F64" s="266">
        <f>'Operating Cost Estimate'!$P$62/100</f>
        <v>729366.2399999999</v>
      </c>
      <c r="G64" s="266">
        <f>'Operating Cost Estimate'!$P$63/100</f>
        <v>61452.469999999994</v>
      </c>
      <c r="H64" s="266">
        <f>('Operating Cost Estimate'!$P$65*(4/412))</f>
        <v>90417.33398058251</v>
      </c>
      <c r="I64" s="267"/>
      <c r="J64" s="271">
        <f t="shared" si="0"/>
        <v>881236.0439805824</v>
      </c>
      <c r="K64" s="306">
        <f t="shared" si="2"/>
        <v>4478571.519831413</v>
      </c>
      <c r="L64" s="305">
        <f t="shared" si="1"/>
        <v>290085.7633415098</v>
      </c>
    </row>
    <row r="65" spans="1:12" ht="12.75">
      <c r="A65" s="190">
        <f t="shared" si="3"/>
        <v>56</v>
      </c>
      <c r="B65" s="266"/>
      <c r="C65" s="266"/>
      <c r="D65" s="266"/>
      <c r="E65" s="266"/>
      <c r="F65" s="266">
        <f>'Operating Cost Estimate'!$P$62/100</f>
        <v>729366.2399999999</v>
      </c>
      <c r="G65" s="266">
        <f>'Operating Cost Estimate'!$P$63/100</f>
        <v>61452.469999999994</v>
      </c>
      <c r="H65" s="266">
        <f>('Operating Cost Estimate'!$P$65*(4/412))</f>
        <v>90417.33398058251</v>
      </c>
      <c r="I65" s="267"/>
      <c r="J65" s="271">
        <f t="shared" si="0"/>
        <v>881236.0439805824</v>
      </c>
      <c r="K65" s="306">
        <f t="shared" si="2"/>
        <v>4612928.695426355</v>
      </c>
      <c r="L65" s="305">
        <f t="shared" si="1"/>
        <v>284284.0480746796</v>
      </c>
    </row>
    <row r="66" spans="1:12" ht="12.75">
      <c r="A66" s="190">
        <f t="shared" si="3"/>
        <v>57</v>
      </c>
      <c r="B66" s="266"/>
      <c r="C66" s="266"/>
      <c r="D66" s="266"/>
      <c r="E66" s="266"/>
      <c r="F66" s="266">
        <f>'Operating Cost Estimate'!$P$62/100</f>
        <v>729366.2399999999</v>
      </c>
      <c r="G66" s="266">
        <f>'Operating Cost Estimate'!$P$63/100</f>
        <v>61452.469999999994</v>
      </c>
      <c r="H66" s="266">
        <f>('Operating Cost Estimate'!$P$65*(4/412))</f>
        <v>90417.33398058251</v>
      </c>
      <c r="I66" s="267"/>
      <c r="J66" s="271">
        <f t="shared" si="0"/>
        <v>881236.0439805824</v>
      </c>
      <c r="K66" s="306">
        <f t="shared" si="2"/>
        <v>4751316.586289146</v>
      </c>
      <c r="L66" s="305">
        <f t="shared" si="1"/>
        <v>278598.367113186</v>
      </c>
    </row>
    <row r="67" spans="1:12" ht="12.75">
      <c r="A67" s="190">
        <f t="shared" si="3"/>
        <v>58</v>
      </c>
      <c r="B67" s="266"/>
      <c r="C67" s="266"/>
      <c r="D67" s="266"/>
      <c r="E67" s="266"/>
      <c r="F67" s="266">
        <f>'Operating Cost Estimate'!$P$62/100</f>
        <v>729366.2399999999</v>
      </c>
      <c r="G67" s="266">
        <f>'Operating Cost Estimate'!$P$63/100</f>
        <v>61452.469999999994</v>
      </c>
      <c r="H67" s="266">
        <f>('Operating Cost Estimate'!$P$65*(4/412))</f>
        <v>90417.33398058251</v>
      </c>
      <c r="I67" s="267"/>
      <c r="J67" s="271">
        <f t="shared" si="0"/>
        <v>881236.0439805824</v>
      </c>
      <c r="K67" s="306">
        <f t="shared" si="2"/>
        <v>4893856.113877821</v>
      </c>
      <c r="L67" s="305">
        <f t="shared" si="1"/>
        <v>273026.39977092226</v>
      </c>
    </row>
    <row r="68" spans="1:12" s="21" customFormat="1" ht="12.75">
      <c r="A68" s="190">
        <f t="shared" si="3"/>
        <v>59</v>
      </c>
      <c r="B68" s="266"/>
      <c r="C68" s="266"/>
      <c r="D68" s="266"/>
      <c r="E68" s="266"/>
      <c r="F68" s="266">
        <f>'Operating Cost Estimate'!$P$62/100</f>
        <v>729366.2399999999</v>
      </c>
      <c r="G68" s="266">
        <f>'Operating Cost Estimate'!$P$63/100</f>
        <v>61452.469999999994</v>
      </c>
      <c r="H68" s="266">
        <f>('Operating Cost Estimate'!$P$65*(4/412))+('Operating Cost Estimate'!$P$66/21)+('Operating Cost Estimate'!$P$67/20)</f>
        <v>159407.12717105867</v>
      </c>
      <c r="I68" s="267"/>
      <c r="J68" s="271">
        <f t="shared" si="0"/>
        <v>950225.8371710585</v>
      </c>
      <c r="K68" s="306">
        <f t="shared" si="2"/>
        <v>5435293.652253847</v>
      </c>
      <c r="L68" s="305">
        <f t="shared" si="1"/>
        <v>288512.94297704013</v>
      </c>
    </row>
    <row r="69" spans="1:12" s="21" customFormat="1" ht="12.75">
      <c r="A69" s="190">
        <f t="shared" si="3"/>
        <v>60</v>
      </c>
      <c r="B69" s="266"/>
      <c r="C69" s="266"/>
      <c r="D69" s="266"/>
      <c r="E69" s="266"/>
      <c r="F69" s="266">
        <f>'Operating Cost Estimate'!$P$62/100</f>
        <v>729366.2399999999</v>
      </c>
      <c r="G69" s="266">
        <f>'Operating Cost Estimate'!$P$63/100</f>
        <v>61452.469999999994</v>
      </c>
      <c r="H69" s="266">
        <f>('Operating Cost Estimate'!$P$65*(4/412))</f>
        <v>90417.33398058251</v>
      </c>
      <c r="I69" s="267"/>
      <c r="J69" s="271">
        <f t="shared" si="0"/>
        <v>881236.0439805824</v>
      </c>
      <c r="K69" s="306">
        <f t="shared" si="2"/>
        <v>5191892.01211298</v>
      </c>
      <c r="L69" s="305">
        <f t="shared" si="1"/>
        <v>262214.5543399937</v>
      </c>
    </row>
    <row r="70" spans="1:12" s="21" customFormat="1" ht="12.75">
      <c r="A70" s="190">
        <f t="shared" si="3"/>
        <v>61</v>
      </c>
      <c r="B70" s="266"/>
      <c r="C70" s="266"/>
      <c r="D70" s="266"/>
      <c r="E70" s="266"/>
      <c r="F70" s="266">
        <f>'Operating Cost Estimate'!$P$62/100</f>
        <v>729366.2399999999</v>
      </c>
      <c r="G70" s="266">
        <f>'Operating Cost Estimate'!$P$63/100</f>
        <v>61452.469999999994</v>
      </c>
      <c r="H70" s="266">
        <f>('Operating Cost Estimate'!$P$65*(4/412))</f>
        <v>90417.33398058251</v>
      </c>
      <c r="I70" s="267"/>
      <c r="J70" s="271">
        <f t="shared" si="0"/>
        <v>881236.0439805824</v>
      </c>
      <c r="K70" s="306">
        <f t="shared" si="2"/>
        <v>5347648.802476368</v>
      </c>
      <c r="L70" s="305">
        <f t="shared" si="1"/>
        <v>256970.2632531938</v>
      </c>
    </row>
    <row r="71" spans="1:12" s="21" customFormat="1" ht="12.75">
      <c r="A71" s="190">
        <f t="shared" si="3"/>
        <v>62</v>
      </c>
      <c r="B71" s="266"/>
      <c r="C71" s="266"/>
      <c r="D71" s="266"/>
      <c r="E71" s="266"/>
      <c r="F71" s="266">
        <f>'Operating Cost Estimate'!$P$62/100</f>
        <v>729366.2399999999</v>
      </c>
      <c r="G71" s="266">
        <f>'Operating Cost Estimate'!$P$63/100</f>
        <v>61452.469999999994</v>
      </c>
      <c r="H71" s="266">
        <f>('Operating Cost Estimate'!$P$65*(4/412))</f>
        <v>90417.33398058251</v>
      </c>
      <c r="I71" s="267"/>
      <c r="J71" s="271">
        <f t="shared" si="0"/>
        <v>881236.0439805824</v>
      </c>
      <c r="K71" s="306">
        <f t="shared" si="2"/>
        <v>5508078.296550659</v>
      </c>
      <c r="L71" s="305">
        <f t="shared" si="1"/>
        <v>251830.85798812995</v>
      </c>
    </row>
    <row r="72" spans="1:12" s="21" customFormat="1" ht="12.75">
      <c r="A72" s="190">
        <f t="shared" si="3"/>
        <v>63</v>
      </c>
      <c r="B72" s="266"/>
      <c r="C72" s="266"/>
      <c r="D72" s="266"/>
      <c r="E72" s="266"/>
      <c r="F72" s="266">
        <f>'Operating Cost Estimate'!$P$62/100</f>
        <v>729366.2399999999</v>
      </c>
      <c r="G72" s="266">
        <f>'Operating Cost Estimate'!$P$63/100</f>
        <v>61452.469999999994</v>
      </c>
      <c r="H72" s="266">
        <f>('Operating Cost Estimate'!$P$65*(4/412))</f>
        <v>90417.33398058251</v>
      </c>
      <c r="I72" s="267"/>
      <c r="J72" s="271">
        <f t="shared" si="0"/>
        <v>881236.0439805824</v>
      </c>
      <c r="K72" s="306">
        <f t="shared" si="2"/>
        <v>5673320.67544718</v>
      </c>
      <c r="L72" s="305">
        <f t="shared" si="1"/>
        <v>246794.24082836733</v>
      </c>
    </row>
    <row r="73" spans="1:12" s="21" customFormat="1" ht="12.75">
      <c r="A73" s="190">
        <f t="shared" si="3"/>
        <v>64</v>
      </c>
      <c r="B73" s="266"/>
      <c r="C73" s="266"/>
      <c r="D73" s="266"/>
      <c r="E73" s="266"/>
      <c r="F73" s="266">
        <f>'Operating Cost Estimate'!$P$62/100</f>
        <v>729366.2399999999</v>
      </c>
      <c r="G73" s="266">
        <f>'Operating Cost Estimate'!$P$63/100</f>
        <v>61452.469999999994</v>
      </c>
      <c r="H73" s="266">
        <f>('Operating Cost Estimate'!$P$65*(4/412))+('Operating Cost Estimate'!$P$66/21)+('Operating Cost Estimate'!$P$67/20)</f>
        <v>159407.12717105867</v>
      </c>
      <c r="I73" s="267"/>
      <c r="J73" s="271">
        <f aca="true" t="shared" si="4" ref="J73:J104">SUM(B73:I73)</f>
        <v>950225.8371710585</v>
      </c>
      <c r="K73" s="306">
        <f t="shared" si="2"/>
        <v>6300995.176539317</v>
      </c>
      <c r="L73" s="305">
        <f aca="true" t="shared" si="5" ref="L73:L104">J73*((1+K$8-L$8)^A73)</f>
        <v>260792.84930291903</v>
      </c>
    </row>
    <row r="74" spans="1:12" s="21" customFormat="1" ht="12.75">
      <c r="A74" s="190">
        <f t="shared" si="3"/>
        <v>65</v>
      </c>
      <c r="B74" s="266"/>
      <c r="C74" s="266"/>
      <c r="D74" s="266"/>
      <c r="E74" s="266"/>
      <c r="F74" s="266">
        <f>'Operating Cost Estimate'!$P$62/100</f>
        <v>729366.2399999999</v>
      </c>
      <c r="G74" s="266">
        <f>'Operating Cost Estimate'!$P$63/100</f>
        <v>61452.469999999994</v>
      </c>
      <c r="H74" s="266">
        <f>('Operating Cost Estimate'!$P$65*(4/412))</f>
        <v>90417.33398058251</v>
      </c>
      <c r="I74" s="267"/>
      <c r="J74" s="271">
        <f t="shared" si="4"/>
        <v>881236.0439805824</v>
      </c>
      <c r="K74" s="306">
        <f aca="true" t="shared" si="6" ref="K74:K105">(J74*((1+K$8)^A74)-1)</f>
        <v>6018825.965481912</v>
      </c>
      <c r="L74" s="305">
        <f t="shared" si="5"/>
        <v>237021.18889156397</v>
      </c>
    </row>
    <row r="75" spans="1:12" s="21" customFormat="1" ht="12.75">
      <c r="A75" s="190">
        <f aca="true" t="shared" si="7" ref="A75:A139">1+A74</f>
        <v>66</v>
      </c>
      <c r="B75" s="266"/>
      <c r="C75" s="266"/>
      <c r="D75" s="266"/>
      <c r="E75" s="266"/>
      <c r="F75" s="266">
        <f>'Operating Cost Estimate'!$P$62/100</f>
        <v>729366.2399999999</v>
      </c>
      <c r="G75" s="266">
        <f>'Operating Cost Estimate'!$P$63/100</f>
        <v>61452.469999999994</v>
      </c>
      <c r="H75" s="266">
        <f>('Operating Cost Estimate'!$P$65*(4/412))</f>
        <v>90417.33398058251</v>
      </c>
      <c r="I75" s="267"/>
      <c r="J75" s="271">
        <f t="shared" si="4"/>
        <v>881236.0439805824</v>
      </c>
      <c r="K75" s="306">
        <f t="shared" si="6"/>
        <v>6199390.774446369</v>
      </c>
      <c r="L75" s="305">
        <f t="shared" si="5"/>
        <v>232280.7651137327</v>
      </c>
    </row>
    <row r="76" spans="1:12" s="21" customFormat="1" ht="12.75">
      <c r="A76" s="190">
        <f t="shared" si="7"/>
        <v>67</v>
      </c>
      <c r="B76" s="266"/>
      <c r="C76" s="266"/>
      <c r="D76" s="266"/>
      <c r="E76" s="266"/>
      <c r="F76" s="266">
        <f>'Operating Cost Estimate'!$P$62/100</f>
        <v>729366.2399999999</v>
      </c>
      <c r="G76" s="266">
        <f>'Operating Cost Estimate'!$P$63/100</f>
        <v>61452.469999999994</v>
      </c>
      <c r="H76" s="266">
        <f>('Operating Cost Estimate'!$P$65*(4/412))</f>
        <v>90417.33398058251</v>
      </c>
      <c r="I76" s="267"/>
      <c r="J76" s="271">
        <f t="shared" si="4"/>
        <v>881236.0439805824</v>
      </c>
      <c r="K76" s="306">
        <f t="shared" si="6"/>
        <v>6385372.52767976</v>
      </c>
      <c r="L76" s="305">
        <f t="shared" si="5"/>
        <v>227635.14981145805</v>
      </c>
    </row>
    <row r="77" spans="1:12" s="21" customFormat="1" ht="12.75">
      <c r="A77" s="190">
        <f t="shared" si="7"/>
        <v>68</v>
      </c>
      <c r="B77" s="266"/>
      <c r="C77" s="266"/>
      <c r="D77" s="266"/>
      <c r="E77" s="266"/>
      <c r="F77" s="266">
        <f>'Operating Cost Estimate'!$P$62/100</f>
        <v>729366.2399999999</v>
      </c>
      <c r="G77" s="266">
        <f>'Operating Cost Estimate'!$P$63/100</f>
        <v>61452.469999999994</v>
      </c>
      <c r="H77" s="266">
        <f>('Operating Cost Estimate'!$P$65*(4/412))</f>
        <v>90417.33398058251</v>
      </c>
      <c r="I77" s="267"/>
      <c r="J77" s="271">
        <f t="shared" si="4"/>
        <v>881236.0439805824</v>
      </c>
      <c r="K77" s="306">
        <f t="shared" si="6"/>
        <v>6576933.733510152</v>
      </c>
      <c r="L77" s="305">
        <f t="shared" si="5"/>
        <v>223082.44681522888</v>
      </c>
    </row>
    <row r="78" spans="1:12" s="21" customFormat="1" ht="12.75">
      <c r="A78" s="190">
        <f t="shared" si="7"/>
        <v>69</v>
      </c>
      <c r="B78" s="266"/>
      <c r="C78" s="266"/>
      <c r="D78" s="266"/>
      <c r="E78" s="266"/>
      <c r="F78" s="266">
        <f>'Operating Cost Estimate'!$P$62/100</f>
        <v>729366.2399999999</v>
      </c>
      <c r="G78" s="266">
        <f>'Operating Cost Estimate'!$P$63/100</f>
        <v>61452.469999999994</v>
      </c>
      <c r="H78" s="266">
        <f>('Operating Cost Estimate'!$P$65*(4/412))+('Operating Cost Estimate'!$P$66/21)+('Operating Cost Estimate'!$P$67/20)</f>
        <v>159407.12717105867</v>
      </c>
      <c r="I78" s="267"/>
      <c r="J78" s="271">
        <f t="shared" si="4"/>
        <v>950225.8371710585</v>
      </c>
      <c r="K78" s="306">
        <f t="shared" si="6"/>
        <v>7304580.509725455</v>
      </c>
      <c r="L78" s="305">
        <f t="shared" si="5"/>
        <v>235736.08014163683</v>
      </c>
    </row>
    <row r="79" spans="1:12" s="21" customFormat="1" ht="12.75">
      <c r="A79" s="190">
        <f t="shared" si="7"/>
        <v>70</v>
      </c>
      <c r="B79" s="266"/>
      <c r="C79" s="266"/>
      <c r="D79" s="266"/>
      <c r="E79" s="266"/>
      <c r="F79" s="266">
        <f>'Operating Cost Estimate'!$P$62/100</f>
        <v>729366.2399999999</v>
      </c>
      <c r="G79" s="266">
        <f>'Operating Cost Estimate'!$P$63/100</f>
        <v>61452.469999999994</v>
      </c>
      <c r="H79" s="266">
        <f>('Operating Cost Estimate'!$P$65*(4/412))</f>
        <v>90417.33398058251</v>
      </c>
      <c r="I79" s="267"/>
      <c r="J79" s="271">
        <f t="shared" si="4"/>
        <v>881236.0439805824</v>
      </c>
      <c r="K79" s="306">
        <f t="shared" si="6"/>
        <v>6977469.058780921</v>
      </c>
      <c r="L79" s="305">
        <f t="shared" si="5"/>
        <v>214248.38192134575</v>
      </c>
    </row>
    <row r="80" spans="1:12" s="21" customFormat="1" ht="12.75">
      <c r="A80" s="190">
        <f t="shared" si="7"/>
        <v>71</v>
      </c>
      <c r="B80" s="266"/>
      <c r="C80" s="266"/>
      <c r="D80" s="266"/>
      <c r="E80" s="266"/>
      <c r="F80" s="266">
        <f>'Operating Cost Estimate'!$P$62/100</f>
        <v>729366.2399999999</v>
      </c>
      <c r="G80" s="266">
        <f>'Operating Cost Estimate'!$P$63/100</f>
        <v>61452.469999999994</v>
      </c>
      <c r="H80" s="266">
        <f>('Operating Cost Estimate'!$P$65*(4/412))</f>
        <v>90417.33398058251</v>
      </c>
      <c r="I80" s="267"/>
      <c r="J80" s="271">
        <f t="shared" si="4"/>
        <v>881236.0439805824</v>
      </c>
      <c r="K80" s="306">
        <f t="shared" si="6"/>
        <v>7186793.160544349</v>
      </c>
      <c r="L80" s="305">
        <f t="shared" si="5"/>
        <v>209963.41428291885</v>
      </c>
    </row>
    <row r="81" spans="1:12" s="21" customFormat="1" ht="12.75">
      <c r="A81" s="190">
        <f t="shared" si="7"/>
        <v>72</v>
      </c>
      <c r="B81" s="266"/>
      <c r="C81" s="266"/>
      <c r="D81" s="266"/>
      <c r="E81" s="266"/>
      <c r="F81" s="266">
        <f>'Operating Cost Estimate'!$P$62/100</f>
        <v>729366.2399999999</v>
      </c>
      <c r="G81" s="266">
        <f>'Operating Cost Estimate'!$P$63/100</f>
        <v>61452.469999999994</v>
      </c>
      <c r="H81" s="266">
        <f>('Operating Cost Estimate'!$P$65*(4/412))</f>
        <v>90417.33398058251</v>
      </c>
      <c r="I81" s="267"/>
      <c r="J81" s="271">
        <f t="shared" si="4"/>
        <v>881236.0439805824</v>
      </c>
      <c r="K81" s="306">
        <f t="shared" si="6"/>
        <v>7402396.985360678</v>
      </c>
      <c r="L81" s="305">
        <f t="shared" si="5"/>
        <v>205764.14599726046</v>
      </c>
    </row>
    <row r="82" spans="1:12" s="21" customFormat="1" ht="12.75">
      <c r="A82" s="190">
        <f t="shared" si="7"/>
        <v>73</v>
      </c>
      <c r="B82" s="266"/>
      <c r="C82" s="266"/>
      <c r="D82" s="266"/>
      <c r="E82" s="266"/>
      <c r="F82" s="266">
        <f>'Operating Cost Estimate'!$P$62/100</f>
        <v>729366.2399999999</v>
      </c>
      <c r="G82" s="266">
        <f>'Operating Cost Estimate'!$P$63/100</f>
        <v>61452.469999999994</v>
      </c>
      <c r="H82" s="266">
        <f>('Operating Cost Estimate'!$P$65*(4/412))</f>
        <v>90417.33398058251</v>
      </c>
      <c r="I82" s="267"/>
      <c r="J82" s="271">
        <f t="shared" si="4"/>
        <v>881236.0439805824</v>
      </c>
      <c r="K82" s="306">
        <f t="shared" si="6"/>
        <v>7624468.9249215</v>
      </c>
      <c r="L82" s="305">
        <f t="shared" si="5"/>
        <v>201648.86307731527</v>
      </c>
    </row>
    <row r="83" spans="1:12" s="21" customFormat="1" ht="12.75">
      <c r="A83" s="190">
        <f t="shared" si="7"/>
        <v>74</v>
      </c>
      <c r="B83" s="266"/>
      <c r="C83" s="266"/>
      <c r="D83" s="266"/>
      <c r="E83" s="266"/>
      <c r="F83" s="266">
        <f>'Operating Cost Estimate'!$P$62/100</f>
        <v>729366.2399999999</v>
      </c>
      <c r="G83" s="266">
        <f>'Operating Cost Estimate'!$P$63/100</f>
        <v>61452.469999999994</v>
      </c>
      <c r="H83" s="266">
        <f>('Operating Cost Estimate'!$P$65*(4/412))+('Operating Cost Estimate'!$P$66/21)+('Operating Cost Estimate'!$P$67/20)</f>
        <v>159407.12717105867</v>
      </c>
      <c r="I83" s="267"/>
      <c r="J83" s="271">
        <f t="shared" si="4"/>
        <v>950225.8371710585</v>
      </c>
      <c r="K83" s="306">
        <f t="shared" si="6"/>
        <v>8468010.967835873</v>
      </c>
      <c r="L83" s="305">
        <f t="shared" si="5"/>
        <v>213086.745396137</v>
      </c>
    </row>
    <row r="84" spans="1:12" s="21" customFormat="1" ht="12.75">
      <c r="A84" s="190">
        <f t="shared" si="7"/>
        <v>75</v>
      </c>
      <c r="B84" s="266"/>
      <c r="C84" s="266"/>
      <c r="D84" s="266"/>
      <c r="E84" s="266"/>
      <c r="F84" s="266">
        <f>'Operating Cost Estimate'!$P$62/100</f>
        <v>729366.2399999999</v>
      </c>
      <c r="G84" s="266">
        <f>'Operating Cost Estimate'!$P$63/100</f>
        <v>61452.469999999994</v>
      </c>
      <c r="H84" s="266">
        <f>('Operating Cost Estimate'!$P$65*(4/412))</f>
        <v>90417.33398058251</v>
      </c>
      <c r="I84" s="267"/>
      <c r="J84" s="271">
        <f t="shared" si="4"/>
        <v>881236.0439805824</v>
      </c>
      <c r="K84" s="306">
        <f t="shared" si="6"/>
        <v>8088799.143349219</v>
      </c>
      <c r="L84" s="305">
        <f t="shared" si="5"/>
        <v>193663.56809945355</v>
      </c>
    </row>
    <row r="85" spans="1:12" s="21" customFormat="1" ht="12.75">
      <c r="A85" s="190">
        <f t="shared" si="7"/>
        <v>76</v>
      </c>
      <c r="B85" s="266"/>
      <c r="C85" s="266"/>
      <c r="D85" s="266"/>
      <c r="E85" s="266"/>
      <c r="F85" s="266">
        <f>'Operating Cost Estimate'!$P$62/100</f>
        <v>729366.2399999999</v>
      </c>
      <c r="G85" s="266">
        <f>'Operating Cost Estimate'!$P$63/100</f>
        <v>61452.469999999994</v>
      </c>
      <c r="H85" s="266">
        <f>('Operating Cost Estimate'!$P$65*(4/412))</f>
        <v>90417.33398058251</v>
      </c>
      <c r="I85" s="267"/>
      <c r="J85" s="271">
        <f t="shared" si="4"/>
        <v>881236.0439805824</v>
      </c>
      <c r="K85" s="306">
        <f t="shared" si="6"/>
        <v>8331463.147649694</v>
      </c>
      <c r="L85" s="305">
        <f t="shared" si="5"/>
        <v>189790.29673746446</v>
      </c>
    </row>
    <row r="86" spans="1:12" s="21" customFormat="1" ht="12.75">
      <c r="A86" s="190">
        <f t="shared" si="7"/>
        <v>77</v>
      </c>
      <c r="B86" s="266"/>
      <c r="C86" s="266"/>
      <c r="D86" s="266"/>
      <c r="E86" s="266"/>
      <c r="F86" s="266">
        <f>'Operating Cost Estimate'!$P$62/100</f>
        <v>729366.2399999999</v>
      </c>
      <c r="G86" s="266">
        <f>'Operating Cost Estimate'!$P$63/100</f>
        <v>61452.469999999994</v>
      </c>
      <c r="H86" s="266">
        <f>('Operating Cost Estimate'!$P$65*(4/412))</f>
        <v>90417.33398058251</v>
      </c>
      <c r="I86" s="267"/>
      <c r="J86" s="271">
        <f t="shared" si="4"/>
        <v>881236.0439805824</v>
      </c>
      <c r="K86" s="306">
        <f t="shared" si="6"/>
        <v>8581407.072079184</v>
      </c>
      <c r="L86" s="305">
        <f t="shared" si="5"/>
        <v>185994.49080271518</v>
      </c>
    </row>
    <row r="87" spans="1:12" s="21" customFormat="1" ht="12.75">
      <c r="A87" s="190">
        <f t="shared" si="7"/>
        <v>78</v>
      </c>
      <c r="B87" s="266"/>
      <c r="C87" s="266"/>
      <c r="D87" s="266"/>
      <c r="E87" s="266"/>
      <c r="F87" s="266">
        <f>'Operating Cost Estimate'!$P$62/100</f>
        <v>729366.2399999999</v>
      </c>
      <c r="G87" s="266">
        <f>'Operating Cost Estimate'!$P$63/100</f>
        <v>61452.469999999994</v>
      </c>
      <c r="H87" s="266">
        <f>('Operating Cost Estimate'!$P$65*(4/412))</f>
        <v>90417.33398058251</v>
      </c>
      <c r="I87" s="267"/>
      <c r="J87" s="271">
        <f t="shared" si="4"/>
        <v>881236.0439805824</v>
      </c>
      <c r="K87" s="306">
        <f t="shared" si="6"/>
        <v>8838849.314241562</v>
      </c>
      <c r="L87" s="305">
        <f t="shared" si="5"/>
        <v>182274.60098666087</v>
      </c>
    </row>
    <row r="88" spans="1:12" s="21" customFormat="1" ht="12.75">
      <c r="A88" s="190">
        <f t="shared" si="7"/>
        <v>79</v>
      </c>
      <c r="B88" s="266"/>
      <c r="C88" s="266"/>
      <c r="D88" s="266"/>
      <c r="E88" s="266"/>
      <c r="F88" s="266">
        <f>'Operating Cost Estimate'!$P$62/100</f>
        <v>729366.2399999999</v>
      </c>
      <c r="G88" s="266">
        <f>'Operating Cost Estimate'!$P$63/100</f>
        <v>61452.469999999994</v>
      </c>
      <c r="H88" s="266">
        <f>('Operating Cost Estimate'!$P$65*(4/412))+('Operating Cost Estimate'!$P$66/21)+('Operating Cost Estimate'!$P$67/20)</f>
        <v>159407.12717105867</v>
      </c>
      <c r="I88" s="267"/>
      <c r="J88" s="271">
        <f t="shared" si="4"/>
        <v>950225.8371710585</v>
      </c>
      <c r="K88" s="306">
        <f t="shared" si="6"/>
        <v>9816745.735174254</v>
      </c>
      <c r="L88" s="305">
        <f t="shared" si="5"/>
        <v>192613.54068599487</v>
      </c>
    </row>
    <row r="89" spans="1:12" s="21" customFormat="1" ht="12.75">
      <c r="A89" s="190">
        <f t="shared" si="7"/>
        <v>80</v>
      </c>
      <c r="B89" s="266"/>
      <c r="C89" s="266"/>
      <c r="D89" s="266"/>
      <c r="E89" s="266"/>
      <c r="F89" s="266">
        <f>'Operating Cost Estimate'!$P$62/100</f>
        <v>729366.2399999999</v>
      </c>
      <c r="G89" s="266">
        <f>'Operating Cost Estimate'!$P$63/100</f>
        <v>61452.469999999994</v>
      </c>
      <c r="H89" s="266">
        <f>('Operating Cost Estimate'!$P$65*(4/412))</f>
        <v>90417.33398058251</v>
      </c>
      <c r="I89" s="267"/>
      <c r="J89" s="271">
        <f t="shared" si="4"/>
        <v>881236.0439805824</v>
      </c>
      <c r="K89" s="306">
        <f t="shared" si="6"/>
        <v>9377135.29837887</v>
      </c>
      <c r="L89" s="305">
        <f t="shared" si="5"/>
        <v>175056.5267875891</v>
      </c>
    </row>
    <row r="90" spans="1:12" s="21" customFormat="1" ht="12.75">
      <c r="A90" s="190">
        <f t="shared" si="7"/>
        <v>81</v>
      </c>
      <c r="B90" s="266"/>
      <c r="C90" s="266"/>
      <c r="D90" s="266"/>
      <c r="E90" s="266"/>
      <c r="F90" s="266">
        <f>'Operating Cost Estimate'!$P$62/100</f>
        <v>729366.2399999999</v>
      </c>
      <c r="G90" s="266">
        <f>'Operating Cost Estimate'!$P$63/100</f>
        <v>61452.469999999994</v>
      </c>
      <c r="H90" s="266">
        <f>('Operating Cost Estimate'!$P$65*(4/412))</f>
        <v>90417.33398058251</v>
      </c>
      <c r="I90" s="267"/>
      <c r="J90" s="271">
        <f t="shared" si="4"/>
        <v>881236.0439805824</v>
      </c>
      <c r="K90" s="306">
        <f t="shared" si="6"/>
        <v>9658449.387330238</v>
      </c>
      <c r="L90" s="305">
        <f t="shared" si="5"/>
        <v>171555.39625183732</v>
      </c>
    </row>
    <row r="91" spans="1:12" s="21" customFormat="1" ht="12.75">
      <c r="A91" s="190">
        <f t="shared" si="7"/>
        <v>82</v>
      </c>
      <c r="B91" s="266"/>
      <c r="C91" s="266"/>
      <c r="D91" s="266"/>
      <c r="E91" s="266"/>
      <c r="F91" s="266">
        <f>'Operating Cost Estimate'!$P$62/100</f>
        <v>729366.2399999999</v>
      </c>
      <c r="G91" s="266">
        <f>'Operating Cost Estimate'!$P$63/100</f>
        <v>61452.469999999994</v>
      </c>
      <c r="H91" s="266">
        <f>('Operating Cost Estimate'!$P$65*(4/412))</f>
        <v>90417.33398058251</v>
      </c>
      <c r="I91" s="267"/>
      <c r="J91" s="271">
        <f t="shared" si="4"/>
        <v>881236.0439805824</v>
      </c>
      <c r="K91" s="306">
        <f t="shared" si="6"/>
        <v>9948202.898950145</v>
      </c>
      <c r="L91" s="305">
        <f t="shared" si="5"/>
        <v>168124.28832680057</v>
      </c>
    </row>
    <row r="92" spans="1:12" s="21" customFormat="1" ht="12.75">
      <c r="A92" s="190">
        <f t="shared" si="7"/>
        <v>83</v>
      </c>
      <c r="B92" s="266"/>
      <c r="C92" s="266"/>
      <c r="D92" s="266"/>
      <c r="E92" s="266"/>
      <c r="F92" s="266">
        <f>'Operating Cost Estimate'!$P$62/100</f>
        <v>729366.2399999999</v>
      </c>
      <c r="G92" s="266">
        <f>'Operating Cost Estimate'!$P$63/100</f>
        <v>61452.469999999994</v>
      </c>
      <c r="H92" s="266">
        <f>('Operating Cost Estimate'!$P$65*(4/412))</f>
        <v>90417.33398058251</v>
      </c>
      <c r="I92" s="267"/>
      <c r="J92" s="271">
        <f t="shared" si="4"/>
        <v>881236.0439805824</v>
      </c>
      <c r="K92" s="306">
        <f t="shared" si="6"/>
        <v>10246649.015918648</v>
      </c>
      <c r="L92" s="305">
        <f t="shared" si="5"/>
        <v>164761.80256026454</v>
      </c>
    </row>
    <row r="93" spans="1:12" s="21" customFormat="1" ht="12.75">
      <c r="A93" s="190">
        <f t="shared" si="7"/>
        <v>84</v>
      </c>
      <c r="B93" s="266"/>
      <c r="C93" s="266"/>
      <c r="D93" s="266"/>
      <c r="E93" s="266"/>
      <c r="F93" s="266">
        <f>'Operating Cost Estimate'!$P$62/100</f>
        <v>729366.2399999999</v>
      </c>
      <c r="G93" s="266">
        <f>'Operating Cost Estimate'!$P$63/100</f>
        <v>61452.469999999994</v>
      </c>
      <c r="H93" s="266">
        <f>('Operating Cost Estimate'!$P$65*(4/412))+('Operating Cost Estimate'!$P$66/21)+('Operating Cost Estimate'!$P$67/20)</f>
        <v>159407.12717105867</v>
      </c>
      <c r="I93" s="267"/>
      <c r="J93" s="271">
        <f t="shared" si="4"/>
        <v>950225.8371710585</v>
      </c>
      <c r="K93" s="306">
        <f t="shared" si="6"/>
        <v>11380298.984056678</v>
      </c>
      <c r="L93" s="305">
        <f t="shared" si="5"/>
        <v>174107.38517135367</v>
      </c>
    </row>
    <row r="94" spans="1:12" s="21" customFormat="1" ht="12.75">
      <c r="A94" s="190">
        <f t="shared" si="7"/>
        <v>85</v>
      </c>
      <c r="B94" s="266"/>
      <c r="C94" s="266"/>
      <c r="D94" s="266"/>
      <c r="E94" s="266"/>
      <c r="F94" s="266">
        <f>'Operating Cost Estimate'!$P$62/100</f>
        <v>729366.2399999999</v>
      </c>
      <c r="G94" s="266">
        <f>'Operating Cost Estimate'!$P$63/100</f>
        <v>61452.469999999994</v>
      </c>
      <c r="H94" s="266">
        <f>('Operating Cost Estimate'!$P$65*(4/412))</f>
        <v>90417.33398058251</v>
      </c>
      <c r="I94" s="267"/>
      <c r="J94" s="271">
        <f t="shared" si="4"/>
        <v>881236.0439805824</v>
      </c>
      <c r="K94" s="306">
        <f t="shared" si="6"/>
        <v>10870670.001888093</v>
      </c>
      <c r="L94" s="305">
        <f t="shared" si="5"/>
        <v>158237.23517887807</v>
      </c>
    </row>
    <row r="95" spans="1:12" s="21" customFormat="1" ht="12.75">
      <c r="A95" s="190">
        <f t="shared" si="7"/>
        <v>86</v>
      </c>
      <c r="B95" s="266"/>
      <c r="C95" s="266"/>
      <c r="D95" s="266"/>
      <c r="E95" s="266"/>
      <c r="F95" s="266">
        <f>'Operating Cost Estimate'!$P$62/100</f>
        <v>729366.2399999999</v>
      </c>
      <c r="G95" s="266">
        <f>'Operating Cost Estimate'!$P$63/100</f>
        <v>61452.469999999994</v>
      </c>
      <c r="H95" s="266">
        <f>('Operating Cost Estimate'!$P$65*(4/412))</f>
        <v>90417.33398058251</v>
      </c>
      <c r="I95" s="267"/>
      <c r="J95" s="271">
        <f t="shared" si="4"/>
        <v>881236.0439805824</v>
      </c>
      <c r="K95" s="306">
        <f t="shared" si="6"/>
        <v>11196790.131944736</v>
      </c>
      <c r="L95" s="305">
        <f t="shared" si="5"/>
        <v>155072.4904753005</v>
      </c>
    </row>
    <row r="96" spans="1:12" s="21" customFormat="1" ht="12.75">
      <c r="A96" s="190">
        <f t="shared" si="7"/>
        <v>87</v>
      </c>
      <c r="B96" s="266"/>
      <c r="C96" s="266"/>
      <c r="D96" s="266"/>
      <c r="E96" s="266"/>
      <c r="F96" s="266">
        <f>'Operating Cost Estimate'!$P$62/100</f>
        <v>729366.2399999999</v>
      </c>
      <c r="G96" s="266">
        <f>'Operating Cost Estimate'!$P$63/100</f>
        <v>61452.469999999994</v>
      </c>
      <c r="H96" s="266">
        <f>('Operating Cost Estimate'!$P$65*(4/412))</f>
        <v>90417.33398058251</v>
      </c>
      <c r="I96" s="267"/>
      <c r="J96" s="271">
        <f t="shared" si="4"/>
        <v>881236.0439805824</v>
      </c>
      <c r="K96" s="306">
        <f t="shared" si="6"/>
        <v>11532693.86590308</v>
      </c>
      <c r="L96" s="305">
        <f t="shared" si="5"/>
        <v>151971.04066579448</v>
      </c>
    </row>
    <row r="97" spans="1:12" s="21" customFormat="1" ht="12.75">
      <c r="A97" s="190">
        <f t="shared" si="7"/>
        <v>88</v>
      </c>
      <c r="B97" s="266"/>
      <c r="C97" s="266"/>
      <c r="D97" s="266"/>
      <c r="E97" s="266"/>
      <c r="F97" s="266">
        <f>'Operating Cost Estimate'!$P$62/100</f>
        <v>729366.2399999999</v>
      </c>
      <c r="G97" s="266">
        <f>'Operating Cost Estimate'!$P$63/100</f>
        <v>61452.469999999994</v>
      </c>
      <c r="H97" s="266">
        <f>('Operating Cost Estimate'!$P$65*(4/412))</f>
        <v>90417.33398058251</v>
      </c>
      <c r="I97" s="267"/>
      <c r="J97" s="271">
        <f t="shared" si="4"/>
        <v>881236.0439805824</v>
      </c>
      <c r="K97" s="306">
        <f t="shared" si="6"/>
        <v>11878674.71188017</v>
      </c>
      <c r="L97" s="305">
        <f t="shared" si="5"/>
        <v>148931.6198524786</v>
      </c>
    </row>
    <row r="98" spans="1:12" s="21" customFormat="1" ht="12.75">
      <c r="A98" s="190">
        <f t="shared" si="7"/>
        <v>89</v>
      </c>
      <c r="B98" s="266"/>
      <c r="C98" s="266"/>
      <c r="D98" s="266"/>
      <c r="E98" s="266"/>
      <c r="F98" s="266">
        <f>'Operating Cost Estimate'!$P$62/100</f>
        <v>729366.2399999999</v>
      </c>
      <c r="G98" s="266">
        <f>'Operating Cost Estimate'!$P$63/100</f>
        <v>61452.469999999994</v>
      </c>
      <c r="H98" s="266">
        <f>('Operating Cost Estimate'!$P$65*(4/412))+('Operating Cost Estimate'!$P$66/21)+('Operating Cost Estimate'!$P$67/20)</f>
        <v>159407.12717105867</v>
      </c>
      <c r="I98" s="267"/>
      <c r="J98" s="271">
        <f t="shared" si="4"/>
        <v>950225.8371710585</v>
      </c>
      <c r="K98" s="306">
        <f t="shared" si="6"/>
        <v>13192885.729273608</v>
      </c>
      <c r="L98" s="305">
        <f t="shared" si="5"/>
        <v>157379.28633285448</v>
      </c>
    </row>
    <row r="99" spans="1:12" s="21" customFormat="1" ht="12.75">
      <c r="A99" s="190">
        <f t="shared" si="7"/>
        <v>90</v>
      </c>
      <c r="B99" s="266"/>
      <c r="C99" s="266"/>
      <c r="D99" s="266"/>
      <c r="E99" s="266"/>
      <c r="F99" s="266">
        <f>'Operating Cost Estimate'!$P$62/100</f>
        <v>729366.2399999999</v>
      </c>
      <c r="G99" s="266">
        <f>'Operating Cost Estimate'!$P$63/100</f>
        <v>61452.469999999994</v>
      </c>
      <c r="H99" s="266">
        <f>('Operating Cost Estimate'!$P$65*(4/412))</f>
        <v>90417.33398058251</v>
      </c>
      <c r="I99" s="267"/>
      <c r="J99" s="271">
        <f t="shared" si="4"/>
        <v>881236.0439805824</v>
      </c>
      <c r="K99" s="306">
        <f t="shared" si="6"/>
        <v>12602086.062733674</v>
      </c>
      <c r="L99" s="305">
        <f t="shared" si="5"/>
        <v>143033.92770632042</v>
      </c>
    </row>
    <row r="100" spans="1:12" s="21" customFormat="1" ht="12.75">
      <c r="A100" s="190">
        <f t="shared" si="7"/>
        <v>91</v>
      </c>
      <c r="B100" s="266"/>
      <c r="C100" s="266"/>
      <c r="D100" s="266"/>
      <c r="E100" s="266"/>
      <c r="F100" s="266">
        <f>'Operating Cost Estimate'!$P$62/100</f>
        <v>729366.2399999999</v>
      </c>
      <c r="G100" s="266">
        <f>'Operating Cost Estimate'!$P$63/100</f>
        <v>61452.469999999994</v>
      </c>
      <c r="H100" s="266">
        <f>('Operating Cost Estimate'!$P$65*(4/412))</f>
        <v>90417.33398058251</v>
      </c>
      <c r="I100" s="267"/>
      <c r="J100" s="271">
        <f t="shared" si="4"/>
        <v>881236.0439805824</v>
      </c>
      <c r="K100" s="306">
        <f t="shared" si="6"/>
        <v>12980148.674615681</v>
      </c>
      <c r="L100" s="305">
        <f t="shared" si="5"/>
        <v>140173.24915219398</v>
      </c>
    </row>
    <row r="101" spans="1:12" s="21" customFormat="1" ht="12.75">
      <c r="A101" s="190">
        <f t="shared" si="7"/>
        <v>92</v>
      </c>
      <c r="B101" s="266"/>
      <c r="C101" s="266"/>
      <c r="D101" s="266"/>
      <c r="E101" s="266"/>
      <c r="F101" s="266">
        <f>'Operating Cost Estimate'!$P$62/100</f>
        <v>729366.2399999999</v>
      </c>
      <c r="G101" s="266">
        <f>'Operating Cost Estimate'!$P$63/100</f>
        <v>61452.469999999994</v>
      </c>
      <c r="H101" s="266">
        <f>('Operating Cost Estimate'!$P$65*(4/412))</f>
        <v>90417.33398058251</v>
      </c>
      <c r="I101" s="267"/>
      <c r="J101" s="271">
        <f t="shared" si="4"/>
        <v>881236.0439805824</v>
      </c>
      <c r="K101" s="306">
        <f t="shared" si="6"/>
        <v>13369553.164854152</v>
      </c>
      <c r="L101" s="305">
        <f t="shared" si="5"/>
        <v>137369.7841691501</v>
      </c>
    </row>
    <row r="102" spans="1:12" s="21" customFormat="1" ht="12.75">
      <c r="A102" s="190">
        <f t="shared" si="7"/>
        <v>93</v>
      </c>
      <c r="B102" s="266"/>
      <c r="C102" s="266"/>
      <c r="D102" s="266"/>
      <c r="E102" s="266"/>
      <c r="F102" s="266">
        <f>'Operating Cost Estimate'!$P$62/100</f>
        <v>729366.2399999999</v>
      </c>
      <c r="G102" s="266">
        <f>'Operating Cost Estimate'!$P$63/100</f>
        <v>61452.469999999994</v>
      </c>
      <c r="H102" s="266">
        <f>('Operating Cost Estimate'!$P$65*(4/412))</f>
        <v>90417.33398058251</v>
      </c>
      <c r="I102" s="267"/>
      <c r="J102" s="271">
        <f t="shared" si="4"/>
        <v>881236.0439805824</v>
      </c>
      <c r="K102" s="306">
        <f t="shared" si="6"/>
        <v>13770639.789799776</v>
      </c>
      <c r="L102" s="305">
        <f t="shared" si="5"/>
        <v>134622.3884857671</v>
      </c>
    </row>
    <row r="103" spans="1:12" s="21" customFormat="1" ht="12.75">
      <c r="A103" s="190">
        <f t="shared" si="7"/>
        <v>94</v>
      </c>
      <c r="B103" s="266"/>
      <c r="C103" s="266"/>
      <c r="D103" s="266"/>
      <c r="E103" s="266"/>
      <c r="F103" s="266">
        <f>'Operating Cost Estimate'!$P$62/100</f>
        <v>729366.2399999999</v>
      </c>
      <c r="G103" s="266">
        <f>'Operating Cost Estimate'!$P$63/100</f>
        <v>61452.469999999994</v>
      </c>
      <c r="H103" s="266">
        <f>('Operating Cost Estimate'!$P$65*(4/412))+('Operating Cost Estimate'!$P$66/21)+('Operating Cost Estimate'!$P$67/20)</f>
        <v>159407.12717105867</v>
      </c>
      <c r="I103" s="267"/>
      <c r="J103" s="271">
        <f t="shared" si="4"/>
        <v>950225.8371710585</v>
      </c>
      <c r="K103" s="306">
        <f t="shared" si="6"/>
        <v>15294170.550423417</v>
      </c>
      <c r="L103" s="305">
        <f t="shared" si="5"/>
        <v>142258.40990180915</v>
      </c>
    </row>
    <row r="104" spans="1:12" s="21" customFormat="1" ht="12.75">
      <c r="A104" s="190">
        <f t="shared" si="7"/>
        <v>95</v>
      </c>
      <c r="B104" s="266"/>
      <c r="C104" s="266"/>
      <c r="D104" s="266"/>
      <c r="E104" s="266"/>
      <c r="F104" s="266">
        <f>'Operating Cost Estimate'!$P$62/100</f>
        <v>729366.2399999999</v>
      </c>
      <c r="G104" s="266">
        <f>'Operating Cost Estimate'!$P$63/100</f>
        <v>61452.469999999994</v>
      </c>
      <c r="H104" s="266">
        <f>('Operating Cost Estimate'!$P$65*(4/412))</f>
        <v>90417.33398058251</v>
      </c>
      <c r="I104" s="267"/>
      <c r="J104" s="271">
        <f t="shared" si="4"/>
        <v>881236.0439805824</v>
      </c>
      <c r="K104" s="306">
        <f t="shared" si="6"/>
        <v>14609271.813898584</v>
      </c>
      <c r="L104" s="305">
        <f t="shared" si="5"/>
        <v>129291.34190173072</v>
      </c>
    </row>
    <row r="105" spans="1:12" s="21" customFormat="1" ht="12.75">
      <c r="A105" s="190">
        <f t="shared" si="7"/>
        <v>96</v>
      </c>
      <c r="B105" s="266"/>
      <c r="C105" s="266"/>
      <c r="D105" s="266"/>
      <c r="E105" s="266"/>
      <c r="F105" s="266">
        <f>'Operating Cost Estimate'!$P$62/100</f>
        <v>729366.2399999999</v>
      </c>
      <c r="G105" s="266">
        <f>'Operating Cost Estimate'!$P$63/100</f>
        <v>61452.469999999994</v>
      </c>
      <c r="H105" s="266">
        <f>('Operating Cost Estimate'!$P$65*(4/412))</f>
        <v>90417.33398058251</v>
      </c>
      <c r="I105" s="267"/>
      <c r="J105" s="271">
        <f>SUM(B105:I105)</f>
        <v>881236.0439805824</v>
      </c>
      <c r="K105" s="306">
        <f t="shared" si="6"/>
        <v>15047549.99831554</v>
      </c>
      <c r="L105" s="305">
        <f>J105*((1+K$8-L$8)^A105)</f>
        <v>126705.5150636961</v>
      </c>
    </row>
    <row r="106" spans="1:12" s="21" customFormat="1" ht="12.75">
      <c r="A106" s="190">
        <f t="shared" si="7"/>
        <v>97</v>
      </c>
      <c r="B106" s="266"/>
      <c r="C106" s="266"/>
      <c r="D106" s="266"/>
      <c r="E106" s="266"/>
      <c r="F106" s="266">
        <f>'Operating Cost Estimate'!$P$62/100</f>
        <v>729366.2399999999</v>
      </c>
      <c r="G106" s="266">
        <f>'Operating Cost Estimate'!$P$63/100</f>
        <v>61452.469999999994</v>
      </c>
      <c r="H106" s="266">
        <f>('Operating Cost Estimate'!$P$65*(4/412))</f>
        <v>90417.33398058251</v>
      </c>
      <c r="I106" s="267"/>
      <c r="J106" s="271">
        <f>SUM(B106:I106)</f>
        <v>881236.0439805824</v>
      </c>
      <c r="K106" s="306">
        <f aca="true" t="shared" si="8" ref="K106:K116">(J106*((1+K$8)^A106)-1)</f>
        <v>15498976.528265007</v>
      </c>
      <c r="L106" s="305">
        <f>J106*((1+K$8-L$8)^A106)</f>
        <v>124171.40476242219</v>
      </c>
    </row>
    <row r="107" spans="1:12" s="21" customFormat="1" ht="12.75">
      <c r="A107" s="190">
        <f t="shared" si="7"/>
        <v>98</v>
      </c>
      <c r="B107" s="266"/>
      <c r="C107" s="266"/>
      <c r="D107" s="266"/>
      <c r="E107" s="266"/>
      <c r="F107" s="266">
        <f>'Operating Cost Estimate'!$P$62/100</f>
        <v>729366.2399999999</v>
      </c>
      <c r="G107" s="266">
        <f>'Operating Cost Estimate'!$P$63/100</f>
        <v>61452.469999999994</v>
      </c>
      <c r="H107" s="266">
        <f>('Operating Cost Estimate'!$P$65*(4/412))</f>
        <v>90417.33398058251</v>
      </c>
      <c r="I107" s="267"/>
      <c r="J107" s="271">
        <f>SUM(B107:I107)</f>
        <v>881236.0439805824</v>
      </c>
      <c r="K107" s="306">
        <f t="shared" si="8"/>
        <v>15963945.854112953</v>
      </c>
      <c r="L107" s="305">
        <f>J107*((1+K$8-L$8)^A107)</f>
        <v>121687.97666717375</v>
      </c>
    </row>
    <row r="108" spans="1:12" s="21" customFormat="1" ht="12.75">
      <c r="A108" s="190">
        <f>1+A107</f>
        <v>99</v>
      </c>
      <c r="B108" s="266"/>
      <c r="C108" s="266"/>
      <c r="D108" s="266"/>
      <c r="E108" s="266"/>
      <c r="F108" s="266">
        <f>'Operating Cost Estimate'!$P$62/100</f>
        <v>729366.2399999999</v>
      </c>
      <c r="G108" s="266">
        <f>'Operating Cost Estimate'!$P$63/100</f>
        <v>61452.469999999994</v>
      </c>
      <c r="H108" s="266">
        <f>('Operating Cost Estimate'!$P$65*(4/412))+('Operating Cost Estimate'!$P$66/21)+('Operating Cost Estimate'!$P$67/20)</f>
        <v>159407.12717105867</v>
      </c>
      <c r="I108" s="267"/>
      <c r="J108" s="271">
        <f>SUM(B108:I108)</f>
        <v>950225.8371710585</v>
      </c>
      <c r="K108" s="306">
        <f t="shared" si="8"/>
        <v>17730135.5663025</v>
      </c>
      <c r="L108" s="305">
        <f>J108*((1+K$8-L$8)^A108)</f>
        <v>128590.33522994432</v>
      </c>
    </row>
    <row r="109" spans="1:12" s="21" customFormat="1" ht="12.75">
      <c r="A109" s="190">
        <f t="shared" si="7"/>
        <v>100</v>
      </c>
      <c r="B109" s="266"/>
      <c r="C109" s="266"/>
      <c r="D109" s="266"/>
      <c r="E109" s="266"/>
      <c r="F109" s="266">
        <f>'Operating Cost Estimate'!$P$62/100</f>
        <v>729366.2399999999</v>
      </c>
      <c r="G109" s="266"/>
      <c r="H109" s="266">
        <f>('Operating Cost Estimate'!$P$65*(1/412))</f>
        <v>22604.333495145627</v>
      </c>
      <c r="I109" s="267"/>
      <c r="J109" s="271">
        <f aca="true" t="shared" si="9" ref="J109:J139">SUM(B109:I109)</f>
        <v>751970.5734951455</v>
      </c>
      <c r="K109" s="306">
        <f t="shared" si="8"/>
        <v>14451844.712436594</v>
      </c>
      <c r="L109" s="305">
        <f aca="true" t="shared" si="10" ref="L109:L139">J109*((1+K$8-L$8)^A109)</f>
        <v>99726.00350284873</v>
      </c>
    </row>
    <row r="110" spans="1:12" s="21" customFormat="1" ht="12.75">
      <c r="A110" s="190">
        <f t="shared" si="7"/>
        <v>101</v>
      </c>
      <c r="B110" s="266"/>
      <c r="C110" s="266"/>
      <c r="D110" s="266"/>
      <c r="E110" s="266"/>
      <c r="F110" s="266"/>
      <c r="G110" s="266"/>
      <c r="H110" s="266">
        <f>('Operating Cost Estimate'!$P$65*(1/412))</f>
        <v>22604.333495145627</v>
      </c>
      <c r="I110" s="267"/>
      <c r="J110" s="271">
        <f t="shared" si="9"/>
        <v>22604.333495145627</v>
      </c>
      <c r="K110" s="306">
        <f t="shared" si="8"/>
        <v>447456.0976142174</v>
      </c>
      <c r="L110" s="305">
        <f t="shared" si="10"/>
        <v>2937.821136034635</v>
      </c>
    </row>
    <row r="111" spans="1:12" s="21" customFormat="1" ht="12.75">
      <c r="A111" s="190">
        <f t="shared" si="7"/>
        <v>102</v>
      </c>
      <c r="B111" s="266"/>
      <c r="C111" s="266"/>
      <c r="D111" s="266"/>
      <c r="E111" s="266"/>
      <c r="F111" s="266"/>
      <c r="G111" s="266"/>
      <c r="H111" s="266">
        <f>('Operating Cost Estimate'!$P$65*(1/412))</f>
        <v>22604.333495145627</v>
      </c>
      <c r="I111" s="267"/>
      <c r="J111" s="271">
        <f t="shared" si="9"/>
        <v>22604.333495145627</v>
      </c>
      <c r="K111" s="306">
        <f t="shared" si="8"/>
        <v>460879.8105426439</v>
      </c>
      <c r="L111" s="305">
        <f t="shared" si="10"/>
        <v>2879.0647133139423</v>
      </c>
    </row>
    <row r="112" spans="1:12" s="21" customFormat="1" ht="12.75">
      <c r="A112" s="190">
        <f t="shared" si="7"/>
        <v>103</v>
      </c>
      <c r="B112" s="266"/>
      <c r="C112" s="266"/>
      <c r="D112" s="266"/>
      <c r="E112" s="266"/>
      <c r="F112" s="266"/>
      <c r="G112" s="266"/>
      <c r="H112" s="266">
        <f>('Operating Cost Estimate'!$P$65*(1/412))</f>
        <v>22604.333495145627</v>
      </c>
      <c r="I112" s="267"/>
      <c r="J112" s="271">
        <f t="shared" si="9"/>
        <v>22604.333495145627</v>
      </c>
      <c r="K112" s="306">
        <f t="shared" si="8"/>
        <v>474706.2348589233</v>
      </c>
      <c r="L112" s="305">
        <f t="shared" si="10"/>
        <v>2821.4834190476636</v>
      </c>
    </row>
    <row r="113" spans="1:12" s="21" customFormat="1" ht="12.75">
      <c r="A113" s="190">
        <f t="shared" si="7"/>
        <v>104</v>
      </c>
      <c r="B113" s="266"/>
      <c r="C113" s="266"/>
      <c r="D113" s="266"/>
      <c r="E113" s="266"/>
      <c r="F113" s="266"/>
      <c r="G113" s="266"/>
      <c r="H113" s="266">
        <f>('Operating Cost Estimate'!$P$65*(1/412))</f>
        <v>22604.333495145627</v>
      </c>
      <c r="I113" s="267"/>
      <c r="J113" s="271">
        <f t="shared" si="9"/>
        <v>22604.333495145627</v>
      </c>
      <c r="K113" s="306">
        <f t="shared" si="8"/>
        <v>488947.4519046909</v>
      </c>
      <c r="L113" s="305">
        <f t="shared" si="10"/>
        <v>2765.05375066671</v>
      </c>
    </row>
    <row r="114" spans="1:12" s="21" customFormat="1" ht="12.75">
      <c r="A114" s="190">
        <f t="shared" si="7"/>
        <v>105</v>
      </c>
      <c r="B114" s="266"/>
      <c r="C114" s="266"/>
      <c r="D114" s="266"/>
      <c r="E114" s="266"/>
      <c r="F114" s="266"/>
      <c r="G114" s="266"/>
      <c r="H114" s="266">
        <f>('Operating Cost Estimate'!$P$65*(1/412))</f>
        <v>22604.333495145627</v>
      </c>
      <c r="I114" s="267"/>
      <c r="J114" s="271">
        <f t="shared" si="9"/>
        <v>22604.333495145627</v>
      </c>
      <c r="K114" s="306">
        <f t="shared" si="8"/>
        <v>503615.9054618317</v>
      </c>
      <c r="L114" s="305">
        <f t="shared" si="10"/>
        <v>2709.752675653376</v>
      </c>
    </row>
    <row r="115" spans="1:12" s="21" customFormat="1" ht="12.75">
      <c r="A115" s="190">
        <f t="shared" si="7"/>
        <v>106</v>
      </c>
      <c r="B115" s="266"/>
      <c r="C115" s="266"/>
      <c r="D115" s="266"/>
      <c r="E115" s="266"/>
      <c r="F115" s="266"/>
      <c r="G115" s="266"/>
      <c r="H115" s="266">
        <f>('Operating Cost Estimate'!$P$65*(1/412))</f>
        <v>22604.333495145627</v>
      </c>
      <c r="I115" s="267"/>
      <c r="J115" s="271">
        <f t="shared" si="9"/>
        <v>22604.333495145627</v>
      </c>
      <c r="K115" s="306">
        <f t="shared" si="8"/>
        <v>518724.4126256867</v>
      </c>
      <c r="L115" s="305">
        <f t="shared" si="10"/>
        <v>2655.5576221403085</v>
      </c>
    </row>
    <row r="116" spans="1:12" s="21" customFormat="1" ht="12.75">
      <c r="A116" s="190">
        <f t="shared" si="7"/>
        <v>107</v>
      </c>
      <c r="B116" s="266"/>
      <c r="C116" s="266"/>
      <c r="D116" s="266"/>
      <c r="E116" s="266"/>
      <c r="F116" s="266"/>
      <c r="G116" s="266"/>
      <c r="H116" s="266">
        <f>('Operating Cost Estimate'!$P$65*(1/412))</f>
        <v>22604.333495145627</v>
      </c>
      <c r="I116" s="267"/>
      <c r="J116" s="271">
        <f t="shared" si="9"/>
        <v>22604.333495145627</v>
      </c>
      <c r="K116" s="306">
        <f t="shared" si="8"/>
        <v>534286.1750044572</v>
      </c>
      <c r="L116" s="305">
        <f t="shared" si="10"/>
        <v>2602.4464696975024</v>
      </c>
    </row>
    <row r="117" spans="1:12" s="21" customFormat="1" ht="12.75">
      <c r="A117" s="190">
        <f t="shared" si="7"/>
        <v>108</v>
      </c>
      <c r="B117" s="266"/>
      <c r="C117" s="266"/>
      <c r="D117" s="266"/>
      <c r="E117" s="266"/>
      <c r="F117" s="266"/>
      <c r="G117" s="266"/>
      <c r="H117" s="266"/>
      <c r="I117" s="267"/>
      <c r="J117" s="271">
        <f t="shared" si="9"/>
        <v>0</v>
      </c>
      <c r="K117" s="306"/>
      <c r="L117" s="305">
        <f t="shared" si="10"/>
        <v>0</v>
      </c>
    </row>
    <row r="118" spans="1:12" s="21" customFormat="1" ht="12.75">
      <c r="A118" s="190">
        <f t="shared" si="7"/>
        <v>109</v>
      </c>
      <c r="B118" s="266"/>
      <c r="C118" s="266"/>
      <c r="D118" s="266"/>
      <c r="E118" s="266"/>
      <c r="F118" s="266"/>
      <c r="G118" s="266"/>
      <c r="H118" s="266"/>
      <c r="I118" s="267"/>
      <c r="J118" s="271">
        <f t="shared" si="9"/>
        <v>0</v>
      </c>
      <c r="K118" s="306"/>
      <c r="L118" s="305">
        <f t="shared" si="10"/>
        <v>0</v>
      </c>
    </row>
    <row r="119" spans="1:12" s="21" customFormat="1" ht="12.75">
      <c r="A119" s="190">
        <f t="shared" si="7"/>
        <v>110</v>
      </c>
      <c r="B119" s="266"/>
      <c r="C119" s="266"/>
      <c r="D119" s="266"/>
      <c r="E119" s="266"/>
      <c r="F119" s="266"/>
      <c r="G119" s="266"/>
      <c r="H119" s="267"/>
      <c r="I119" s="267"/>
      <c r="J119" s="271">
        <f t="shared" si="9"/>
        <v>0</v>
      </c>
      <c r="K119" s="306"/>
      <c r="L119" s="305">
        <f t="shared" si="10"/>
        <v>0</v>
      </c>
    </row>
    <row r="120" spans="1:12" s="21" customFormat="1" ht="12.75">
      <c r="A120" s="190">
        <f t="shared" si="7"/>
        <v>111</v>
      </c>
      <c r="B120" s="266"/>
      <c r="C120" s="266"/>
      <c r="D120" s="266"/>
      <c r="E120" s="266"/>
      <c r="F120" s="266"/>
      <c r="G120" s="266"/>
      <c r="H120" s="267"/>
      <c r="I120" s="267"/>
      <c r="J120" s="271">
        <f t="shared" si="9"/>
        <v>0</v>
      </c>
      <c r="K120" s="306"/>
      <c r="L120" s="305">
        <f t="shared" si="10"/>
        <v>0</v>
      </c>
    </row>
    <row r="121" spans="1:12" s="21" customFormat="1" ht="12.75">
      <c r="A121" s="190">
        <f t="shared" si="7"/>
        <v>112</v>
      </c>
      <c r="B121" s="266"/>
      <c r="C121" s="266"/>
      <c r="D121" s="266"/>
      <c r="E121" s="266"/>
      <c r="F121" s="266"/>
      <c r="G121" s="266"/>
      <c r="H121" s="266">
        <f>('Operating Cost Estimate'!$P$65*(1/412))</f>
        <v>22604.333495145627</v>
      </c>
      <c r="I121" s="267"/>
      <c r="J121" s="271">
        <f t="shared" si="9"/>
        <v>22604.333495145627</v>
      </c>
      <c r="K121" s="306">
        <f>(J121*((1+K$8)^A121)-1)</f>
        <v>619384.2702136543</v>
      </c>
      <c r="L121" s="305">
        <f t="shared" si="10"/>
        <v>2352.405486518313</v>
      </c>
    </row>
    <row r="122" spans="1:12" s="21" customFormat="1" ht="12.75">
      <c r="A122" s="190">
        <f t="shared" si="7"/>
        <v>113</v>
      </c>
      <c r="B122" s="266"/>
      <c r="C122" s="266"/>
      <c r="D122" s="266"/>
      <c r="E122" s="266"/>
      <c r="F122" s="266"/>
      <c r="G122" s="266"/>
      <c r="H122" s="267"/>
      <c r="I122" s="267"/>
      <c r="J122" s="271">
        <f t="shared" si="9"/>
        <v>0</v>
      </c>
      <c r="K122" s="306"/>
      <c r="L122" s="305">
        <f t="shared" si="10"/>
        <v>0</v>
      </c>
    </row>
    <row r="123" spans="1:12" s="21" customFormat="1" ht="12.75">
      <c r="A123" s="190">
        <f t="shared" si="7"/>
        <v>114</v>
      </c>
      <c r="B123" s="266"/>
      <c r="C123" s="266"/>
      <c r="D123" s="266"/>
      <c r="E123" s="266"/>
      <c r="F123" s="266"/>
      <c r="G123" s="266"/>
      <c r="H123" s="267"/>
      <c r="I123" s="267"/>
      <c r="J123" s="271">
        <f t="shared" si="9"/>
        <v>0</v>
      </c>
      <c r="K123" s="306"/>
      <c r="L123" s="305">
        <f t="shared" si="10"/>
        <v>0</v>
      </c>
    </row>
    <row r="124" spans="1:12" s="21" customFormat="1" ht="12.75">
      <c r="A124" s="190">
        <f t="shared" si="7"/>
        <v>115</v>
      </c>
      <c r="B124" s="266"/>
      <c r="C124" s="266"/>
      <c r="D124" s="266"/>
      <c r="E124" s="266"/>
      <c r="F124" s="266"/>
      <c r="G124" s="266"/>
      <c r="H124" s="267"/>
      <c r="I124" s="267"/>
      <c r="J124" s="271">
        <f t="shared" si="9"/>
        <v>0</v>
      </c>
      <c r="K124" s="306"/>
      <c r="L124" s="305">
        <f t="shared" si="10"/>
        <v>0</v>
      </c>
    </row>
    <row r="125" spans="1:12" s="21" customFormat="1" ht="12.75">
      <c r="A125" s="190">
        <f t="shared" si="7"/>
        <v>116</v>
      </c>
      <c r="B125" s="266"/>
      <c r="C125" s="266"/>
      <c r="D125" s="266"/>
      <c r="E125" s="266"/>
      <c r="F125" s="266"/>
      <c r="G125" s="266"/>
      <c r="H125" s="267"/>
      <c r="I125" s="267"/>
      <c r="J125" s="271">
        <f t="shared" si="9"/>
        <v>0</v>
      </c>
      <c r="K125" s="306"/>
      <c r="L125" s="305">
        <f t="shared" si="10"/>
        <v>0</v>
      </c>
    </row>
    <row r="126" spans="1:12" s="21" customFormat="1" ht="12.75">
      <c r="A126" s="190">
        <f t="shared" si="7"/>
        <v>117</v>
      </c>
      <c r="B126" s="266"/>
      <c r="C126" s="266"/>
      <c r="D126" s="266"/>
      <c r="E126" s="266"/>
      <c r="F126" s="266"/>
      <c r="G126" s="266"/>
      <c r="H126" s="266">
        <f>('Operating Cost Estimate'!$P$65*(1/412))</f>
        <v>22604.333495145627</v>
      </c>
      <c r="I126" s="267"/>
      <c r="J126" s="271">
        <f t="shared" si="9"/>
        <v>22604.333495145627</v>
      </c>
      <c r="K126" s="306">
        <f>(J126*((1+K$8)^A126)-1)</f>
        <v>718036.2857619891</v>
      </c>
      <c r="L126" s="305">
        <f t="shared" si="10"/>
        <v>2126.388241770325</v>
      </c>
    </row>
    <row r="127" spans="1:12" s="21" customFormat="1" ht="12.75">
      <c r="A127" s="190">
        <f>1+A126</f>
        <v>118</v>
      </c>
      <c r="B127" s="266"/>
      <c r="C127" s="266"/>
      <c r="D127" s="266"/>
      <c r="E127" s="266"/>
      <c r="F127" s="266"/>
      <c r="G127" s="266"/>
      <c r="H127" s="267"/>
      <c r="I127" s="267"/>
      <c r="J127" s="271">
        <f t="shared" si="9"/>
        <v>0</v>
      </c>
      <c r="K127" s="306"/>
      <c r="L127" s="305">
        <f t="shared" si="10"/>
        <v>0</v>
      </c>
    </row>
    <row r="128" spans="1:12" s="21" customFormat="1" ht="12.75">
      <c r="A128" s="190">
        <f t="shared" si="7"/>
        <v>119</v>
      </c>
      <c r="B128" s="266"/>
      <c r="C128" s="266"/>
      <c r="D128" s="266"/>
      <c r="E128" s="266"/>
      <c r="F128" s="266"/>
      <c r="G128" s="266"/>
      <c r="H128" s="267"/>
      <c r="I128" s="267"/>
      <c r="J128" s="271">
        <f>SUM(B128:I128)</f>
        <v>0</v>
      </c>
      <c r="K128" s="306"/>
      <c r="L128" s="305">
        <f t="shared" si="10"/>
        <v>0</v>
      </c>
    </row>
    <row r="129" spans="1:12" s="21" customFormat="1" ht="12.75">
      <c r="A129" s="190">
        <f t="shared" si="7"/>
        <v>120</v>
      </c>
      <c r="B129" s="266"/>
      <c r="C129" s="266"/>
      <c r="D129" s="266"/>
      <c r="E129" s="266"/>
      <c r="F129" s="266"/>
      <c r="G129" s="266"/>
      <c r="H129" s="267"/>
      <c r="I129" s="267"/>
      <c r="J129" s="271">
        <f t="shared" si="9"/>
        <v>0</v>
      </c>
      <c r="K129" s="306"/>
      <c r="L129" s="305">
        <f t="shared" si="10"/>
        <v>0</v>
      </c>
    </row>
    <row r="130" spans="1:12" s="21" customFormat="1" ht="12.75">
      <c r="A130" s="190">
        <f t="shared" si="7"/>
        <v>121</v>
      </c>
      <c r="B130" s="266"/>
      <c r="C130" s="266"/>
      <c r="D130" s="266"/>
      <c r="E130" s="266"/>
      <c r="F130" s="266"/>
      <c r="G130" s="266"/>
      <c r="H130" s="267"/>
      <c r="I130" s="267"/>
      <c r="J130" s="271">
        <f t="shared" si="9"/>
        <v>0</v>
      </c>
      <c r="K130" s="306"/>
      <c r="L130" s="305">
        <f t="shared" si="10"/>
        <v>0</v>
      </c>
    </row>
    <row r="131" spans="1:12" s="21" customFormat="1" ht="12.75">
      <c r="A131" s="190">
        <f t="shared" si="7"/>
        <v>122</v>
      </c>
      <c r="B131" s="266"/>
      <c r="C131" s="266"/>
      <c r="D131" s="266"/>
      <c r="E131" s="266"/>
      <c r="F131" s="266"/>
      <c r="G131" s="266"/>
      <c r="H131" s="266">
        <f>('Operating Cost Estimate'!$P$65*(1/412))</f>
        <v>22604.333495145627</v>
      </c>
      <c r="I131" s="267"/>
      <c r="J131" s="271">
        <f t="shared" si="9"/>
        <v>22604.333495145627</v>
      </c>
      <c r="K131" s="306">
        <f>(J131*((1+K$8)^A131)-1)</f>
        <v>832401.0097646146</v>
      </c>
      <c r="L131" s="305">
        <f t="shared" si="10"/>
        <v>1922.086553807183</v>
      </c>
    </row>
    <row r="132" spans="1:12" s="21" customFormat="1" ht="12.75">
      <c r="A132" s="190">
        <f t="shared" si="7"/>
        <v>123</v>
      </c>
      <c r="B132" s="266"/>
      <c r="C132" s="266"/>
      <c r="D132" s="266"/>
      <c r="E132" s="266"/>
      <c r="F132" s="266"/>
      <c r="G132" s="266"/>
      <c r="H132" s="267"/>
      <c r="I132" s="267"/>
      <c r="J132" s="271">
        <f t="shared" si="9"/>
        <v>0</v>
      </c>
      <c r="K132" s="306"/>
      <c r="L132" s="305">
        <f t="shared" si="10"/>
        <v>0</v>
      </c>
    </row>
    <row r="133" spans="1:12" s="21" customFormat="1" ht="12.75">
      <c r="A133" s="190">
        <f t="shared" si="7"/>
        <v>124</v>
      </c>
      <c r="B133" s="266"/>
      <c r="C133" s="266"/>
      <c r="D133" s="266"/>
      <c r="E133" s="266"/>
      <c r="F133" s="266"/>
      <c r="G133" s="266"/>
      <c r="H133" s="267"/>
      <c r="I133" s="267"/>
      <c r="J133" s="271">
        <f t="shared" si="9"/>
        <v>0</v>
      </c>
      <c r="K133" s="306"/>
      <c r="L133" s="305">
        <f t="shared" si="10"/>
        <v>0</v>
      </c>
    </row>
    <row r="134" spans="1:12" s="21" customFormat="1" ht="12.75">
      <c r="A134" s="190">
        <f t="shared" si="7"/>
        <v>125</v>
      </c>
      <c r="B134" s="266"/>
      <c r="C134" s="266"/>
      <c r="D134" s="266"/>
      <c r="E134" s="266"/>
      <c r="F134" s="266"/>
      <c r="G134" s="266"/>
      <c r="H134" s="267"/>
      <c r="I134" s="267"/>
      <c r="J134" s="271">
        <f t="shared" si="9"/>
        <v>0</v>
      </c>
      <c r="K134" s="306"/>
      <c r="L134" s="305">
        <f t="shared" si="10"/>
        <v>0</v>
      </c>
    </row>
    <row r="135" spans="1:12" s="21" customFormat="1" ht="12.75">
      <c r="A135" s="190">
        <f t="shared" si="7"/>
        <v>126</v>
      </c>
      <c r="B135" s="266"/>
      <c r="C135" s="266"/>
      <c r="D135" s="266"/>
      <c r="E135" s="266"/>
      <c r="F135" s="266"/>
      <c r="G135" s="266"/>
      <c r="H135" s="267"/>
      <c r="I135" s="267"/>
      <c r="J135" s="271">
        <f t="shared" si="9"/>
        <v>0</v>
      </c>
      <c r="K135" s="306"/>
      <c r="L135" s="305">
        <f t="shared" si="10"/>
        <v>0</v>
      </c>
    </row>
    <row r="136" spans="1:12" s="21" customFormat="1" ht="12.75">
      <c r="A136" s="190">
        <f t="shared" si="7"/>
        <v>127</v>
      </c>
      <c r="B136" s="266"/>
      <c r="C136" s="266"/>
      <c r="D136" s="266"/>
      <c r="E136" s="266"/>
      <c r="F136" s="266"/>
      <c r="G136" s="266"/>
      <c r="H136" s="266">
        <f>('Operating Cost Estimate'!$P$65*(1/412))</f>
        <v>22604.333495145627</v>
      </c>
      <c r="I136" s="267"/>
      <c r="J136" s="271">
        <f t="shared" si="9"/>
        <v>22604.333495145627</v>
      </c>
      <c r="K136" s="306">
        <f>(J136*((1+K$8)^A136)-1)</f>
        <v>964981.0693153332</v>
      </c>
      <c r="L136" s="305">
        <f t="shared" si="10"/>
        <v>1737.4140092359542</v>
      </c>
    </row>
    <row r="137" spans="1:12" s="21" customFormat="1" ht="12.75">
      <c r="A137" s="190">
        <f t="shared" si="7"/>
        <v>128</v>
      </c>
      <c r="B137" s="266"/>
      <c r="C137" s="266"/>
      <c r="D137" s="266"/>
      <c r="E137" s="266"/>
      <c r="F137" s="266"/>
      <c r="G137" s="266"/>
      <c r="H137" s="267"/>
      <c r="I137" s="267"/>
      <c r="J137" s="271">
        <f t="shared" si="9"/>
        <v>0</v>
      </c>
      <c r="K137" s="306"/>
      <c r="L137" s="305">
        <f t="shared" si="10"/>
        <v>0</v>
      </c>
    </row>
    <row r="138" spans="1:12" s="21" customFormat="1" ht="12.75">
      <c r="A138" s="190">
        <f t="shared" si="7"/>
        <v>129</v>
      </c>
      <c r="B138" s="266"/>
      <c r="C138" s="266"/>
      <c r="D138" s="266"/>
      <c r="E138" s="266"/>
      <c r="F138" s="266"/>
      <c r="G138" s="266"/>
      <c r="H138" s="267"/>
      <c r="I138" s="267"/>
      <c r="J138" s="271">
        <f t="shared" si="9"/>
        <v>0</v>
      </c>
      <c r="K138" s="306"/>
      <c r="L138" s="305">
        <f t="shared" si="10"/>
        <v>0</v>
      </c>
    </row>
    <row r="139" spans="1:12" s="21" customFormat="1" ht="12.75">
      <c r="A139" s="190">
        <f t="shared" si="7"/>
        <v>130</v>
      </c>
      <c r="B139" s="299"/>
      <c r="C139" s="299"/>
      <c r="D139" s="299"/>
      <c r="E139" s="299"/>
      <c r="F139" s="299"/>
      <c r="G139" s="299"/>
      <c r="H139" s="300"/>
      <c r="I139" s="300"/>
      <c r="J139" s="301">
        <f t="shared" si="9"/>
        <v>0</v>
      </c>
      <c r="K139" s="307"/>
      <c r="L139" s="308">
        <f t="shared" si="10"/>
        <v>0</v>
      </c>
    </row>
    <row r="140" spans="1:12" s="21" customFormat="1" ht="11.25">
      <c r="A140" s="191" t="s">
        <v>202</v>
      </c>
      <c r="B140" s="192">
        <f>SUM(B9:B139)</f>
        <v>1191599.89</v>
      </c>
      <c r="C140" s="192">
        <f aca="true" t="shared" si="11" ref="C140:L140">SUM(C9:C139)</f>
        <v>8196677.130000001</v>
      </c>
      <c r="D140" s="192">
        <f t="shared" si="11"/>
        <v>0</v>
      </c>
      <c r="E140" s="192">
        <f t="shared" si="11"/>
        <v>24820625</v>
      </c>
      <c r="F140" s="192">
        <f t="shared" si="11"/>
        <v>72936624.00000001</v>
      </c>
      <c r="G140" s="192">
        <f t="shared" si="11"/>
        <v>6145246.999999998</v>
      </c>
      <c r="H140" s="192">
        <f t="shared" si="11"/>
        <v>10713463.590000002</v>
      </c>
      <c r="I140" s="192">
        <f t="shared" si="11"/>
        <v>16337500</v>
      </c>
      <c r="J140" s="192">
        <f t="shared" si="11"/>
        <v>140341736.60999998</v>
      </c>
      <c r="K140" s="303">
        <f t="shared" si="11"/>
        <v>639004266.684883</v>
      </c>
      <c r="L140" s="303">
        <f t="shared" si="11"/>
        <v>81542230.27678075</v>
      </c>
    </row>
    <row r="141" spans="11:12" s="21" customFormat="1" ht="11.25">
      <c r="K141" s="194"/>
      <c r="L141" s="194"/>
    </row>
    <row r="142" spans="2:12" s="21" customFormat="1" ht="11.25">
      <c r="B142" s="99"/>
      <c r="C142" s="99"/>
      <c r="D142" s="99"/>
      <c r="E142" s="99"/>
      <c r="F142" s="99"/>
      <c r="G142" s="99"/>
      <c r="H142" s="99"/>
      <c r="I142" s="99"/>
      <c r="J142" s="99"/>
      <c r="K142" s="194"/>
      <c r="L142" s="194"/>
    </row>
    <row r="143" spans="1:12" s="21" customFormat="1" ht="11.2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194"/>
      <c r="L143" s="194"/>
    </row>
    <row r="144" spans="1:12" s="21" customFormat="1" ht="11.25">
      <c r="A144" s="99"/>
      <c r="B144" s="99"/>
      <c r="C144" s="99"/>
      <c r="D144" s="99"/>
      <c r="E144" s="99"/>
      <c r="F144" s="99"/>
      <c r="G144" s="99"/>
      <c r="H144" s="99"/>
      <c r="I144" s="99"/>
      <c r="J144" s="195"/>
      <c r="K144" s="194"/>
      <c r="L144" s="194"/>
    </row>
    <row r="145" spans="1:12" s="21" customFormat="1" ht="11.2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194"/>
      <c r="L145" s="194"/>
    </row>
    <row r="146" spans="1:12" s="21" customFormat="1" ht="11.2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194"/>
      <c r="L146" s="194"/>
    </row>
    <row r="147" spans="1:12" s="21" customFormat="1" ht="11.2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194"/>
      <c r="L147" s="194"/>
    </row>
    <row r="148" spans="1:12" s="21" customFormat="1" ht="11.2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194"/>
      <c r="L148" s="194"/>
    </row>
    <row r="149" spans="1:12" s="21" customFormat="1" ht="11.2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194"/>
      <c r="L149" s="194"/>
    </row>
    <row r="150" spans="1:12" s="21" customFormat="1" ht="11.2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194"/>
      <c r="L150" s="194"/>
    </row>
    <row r="151" spans="1:12" s="21" customFormat="1" ht="11.2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194"/>
      <c r="L151" s="194"/>
    </row>
    <row r="152" spans="1:12" s="21" customFormat="1" ht="11.2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194"/>
      <c r="L152" s="194"/>
    </row>
    <row r="153" spans="1:12" s="21" customFormat="1" ht="11.2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194"/>
      <c r="L153" s="194"/>
    </row>
    <row r="154" spans="1:12" s="21" customFormat="1" ht="11.2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194"/>
      <c r="L154" s="194"/>
    </row>
    <row r="155" spans="1:12" s="21" customFormat="1" ht="11.2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194"/>
      <c r="L155" s="194"/>
    </row>
    <row r="156" spans="1:12" s="21" customFormat="1" ht="11.2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194"/>
      <c r="L156" s="194"/>
    </row>
    <row r="157" spans="1:12" s="21" customFormat="1" ht="11.2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194"/>
      <c r="L157" s="194"/>
    </row>
    <row r="158" spans="1:12" s="21" customFormat="1" ht="11.2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194"/>
      <c r="L158" s="194"/>
    </row>
    <row r="159" spans="1:12" s="21" customFormat="1" ht="11.2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194"/>
      <c r="L159" s="194"/>
    </row>
    <row r="160" spans="1:12" s="21" customFormat="1" ht="11.2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194"/>
      <c r="L160" s="194"/>
    </row>
    <row r="161" spans="1:12" s="21" customFormat="1" ht="11.2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194"/>
      <c r="L161" s="194"/>
    </row>
    <row r="162" spans="1:12" s="21" customFormat="1" ht="11.25">
      <c r="A162" s="99"/>
      <c r="B162" s="99"/>
      <c r="C162" s="99"/>
      <c r="D162" s="99"/>
      <c r="E162" s="99"/>
      <c r="F162" s="99"/>
      <c r="G162" s="99"/>
      <c r="H162" s="99"/>
      <c r="I162" s="99"/>
      <c r="J162" s="195"/>
      <c r="K162" s="194"/>
      <c r="L162" s="194"/>
    </row>
    <row r="163" spans="1:12" s="21" customFormat="1" ht="11.25">
      <c r="A163" s="99"/>
      <c r="B163" s="99"/>
      <c r="C163" s="99"/>
      <c r="D163" s="99"/>
      <c r="E163" s="99"/>
      <c r="F163" s="99"/>
      <c r="G163" s="99"/>
      <c r="H163" s="99"/>
      <c r="I163" s="99"/>
      <c r="J163" s="195"/>
      <c r="K163" s="194"/>
      <c r="L163" s="194"/>
    </row>
    <row r="164" spans="1:12" s="21" customFormat="1" ht="11.25">
      <c r="A164" s="99"/>
      <c r="B164" s="99"/>
      <c r="C164" s="99"/>
      <c r="D164" s="99"/>
      <c r="E164" s="99"/>
      <c r="F164" s="99"/>
      <c r="G164" s="99"/>
      <c r="H164" s="99"/>
      <c r="I164" s="99"/>
      <c r="J164" s="195"/>
      <c r="K164" s="194"/>
      <c r="L164" s="194"/>
    </row>
    <row r="165" spans="1:12" s="21" customFormat="1" ht="11.2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194"/>
      <c r="L165" s="194"/>
    </row>
    <row r="166" spans="1:12" s="21" customFormat="1" ht="11.2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194"/>
      <c r="L166" s="194"/>
    </row>
    <row r="167" spans="1:12" s="21" customFormat="1" ht="11.25">
      <c r="A167" s="99"/>
      <c r="B167" s="99"/>
      <c r="C167" s="99"/>
      <c r="D167" s="99"/>
      <c r="E167" s="99"/>
      <c r="F167" s="99"/>
      <c r="G167" s="99"/>
      <c r="H167" s="99"/>
      <c r="I167" s="99"/>
      <c r="J167" s="195"/>
      <c r="K167" s="194"/>
      <c r="L167" s="194"/>
    </row>
    <row r="168" spans="1:12" s="21" customFormat="1" ht="11.25">
      <c r="A168" s="99"/>
      <c r="B168" s="99"/>
      <c r="C168" s="99"/>
      <c r="D168" s="99"/>
      <c r="E168" s="99"/>
      <c r="F168" s="99"/>
      <c r="G168" s="99"/>
      <c r="H168" s="99"/>
      <c r="I168" s="99"/>
      <c r="J168" s="195"/>
      <c r="K168" s="194"/>
      <c r="L168" s="194"/>
    </row>
    <row r="169" spans="1:12" s="21" customFormat="1" ht="11.25">
      <c r="A169" s="99"/>
      <c r="B169" s="99"/>
      <c r="C169" s="99"/>
      <c r="D169" s="99"/>
      <c r="E169" s="99"/>
      <c r="F169" s="99"/>
      <c r="G169" s="99"/>
      <c r="H169" s="99"/>
      <c r="I169" s="99"/>
      <c r="J169" s="195"/>
      <c r="K169" s="194"/>
      <c r="L169" s="194"/>
    </row>
    <row r="170" spans="1:12" s="21" customFormat="1" ht="11.2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194"/>
      <c r="L170" s="194"/>
    </row>
    <row r="171" spans="1:12" s="21" customFormat="1" ht="11.2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194"/>
      <c r="L171" s="194"/>
    </row>
    <row r="172" spans="1:12" s="21" customFormat="1" ht="11.25">
      <c r="A172" s="99"/>
      <c r="B172" s="99"/>
      <c r="C172" s="99"/>
      <c r="D172" s="99"/>
      <c r="E172" s="99"/>
      <c r="F172" s="99"/>
      <c r="G172" s="99"/>
      <c r="H172" s="99"/>
      <c r="I172" s="99"/>
      <c r="J172" s="195"/>
      <c r="K172" s="194"/>
      <c r="L172" s="194"/>
    </row>
    <row r="173" spans="1:12" s="21" customFormat="1" ht="11.25">
      <c r="A173" s="99"/>
      <c r="B173" s="99"/>
      <c r="C173" s="99"/>
      <c r="D173" s="99"/>
      <c r="E173" s="99"/>
      <c r="F173" s="99"/>
      <c r="G173" s="99"/>
      <c r="H173" s="99"/>
      <c r="I173" s="99"/>
      <c r="J173" s="195"/>
      <c r="K173" s="194"/>
      <c r="L173" s="194"/>
    </row>
    <row r="174" spans="1:12" s="21" customFormat="1" ht="11.25">
      <c r="A174" s="99"/>
      <c r="B174" s="99"/>
      <c r="C174" s="99"/>
      <c r="D174" s="99"/>
      <c r="E174" s="99"/>
      <c r="F174" s="99"/>
      <c r="G174" s="99"/>
      <c r="H174" s="99"/>
      <c r="I174" s="99"/>
      <c r="J174" s="195"/>
      <c r="K174" s="194"/>
      <c r="L174" s="194"/>
    </row>
    <row r="175" spans="11:12" s="21" customFormat="1" ht="11.25">
      <c r="K175" s="194"/>
      <c r="L175" s="194"/>
    </row>
    <row r="176" spans="11:12" s="21" customFormat="1" ht="11.25">
      <c r="K176" s="194"/>
      <c r="L176" s="194"/>
    </row>
    <row r="177" spans="11:12" s="21" customFormat="1" ht="11.25">
      <c r="K177" s="194"/>
      <c r="L177" s="194"/>
    </row>
    <row r="178" spans="11:12" s="21" customFormat="1" ht="11.25">
      <c r="K178" s="194"/>
      <c r="L178" s="194"/>
    </row>
    <row r="179" spans="11:12" s="21" customFormat="1" ht="11.25">
      <c r="K179" s="194"/>
      <c r="L179" s="194"/>
    </row>
    <row r="180" spans="11:12" s="21" customFormat="1" ht="11.25">
      <c r="K180" s="194"/>
      <c r="L180" s="194"/>
    </row>
    <row r="181" spans="2:12" s="21" customFormat="1" ht="11.25">
      <c r="B181" s="10"/>
      <c r="C181" s="10"/>
      <c r="F181" s="196"/>
      <c r="G181" s="196"/>
      <c r="H181" s="196"/>
      <c r="I181" s="196"/>
      <c r="K181" s="194"/>
      <c r="L181" s="194"/>
    </row>
    <row r="182" spans="2:12" s="21" customFormat="1" ht="11.25">
      <c r="B182" s="10"/>
      <c r="K182" s="194"/>
      <c r="L182" s="194"/>
    </row>
    <row r="183" spans="2:12" s="21" customFormat="1" ht="4.5" customHeight="1">
      <c r="B183" s="10"/>
      <c r="K183" s="194"/>
      <c r="L183" s="194"/>
    </row>
    <row r="184" spans="1:12" ht="11.25">
      <c r="A184" s="21"/>
      <c r="J184" s="21"/>
      <c r="K184" s="14"/>
      <c r="L184" s="14"/>
    </row>
    <row r="185" spans="1:12" ht="4.5" customHeight="1">
      <c r="A185" s="21"/>
      <c r="J185" s="21"/>
      <c r="K185" s="14"/>
      <c r="L185" s="14"/>
    </row>
    <row r="186" spans="1:12" ht="11.25">
      <c r="A186" s="21"/>
      <c r="J186" s="21"/>
      <c r="K186" s="14"/>
      <c r="L186" s="14"/>
    </row>
    <row r="187" spans="1:12" ht="4.5" customHeight="1">
      <c r="A187" s="21"/>
      <c r="J187" s="21"/>
      <c r="K187" s="14"/>
      <c r="L187" s="14"/>
    </row>
    <row r="188" spans="1:12" ht="11.25">
      <c r="A188" s="21"/>
      <c r="J188" s="21"/>
      <c r="K188" s="14"/>
      <c r="L188" s="14"/>
    </row>
    <row r="189" spans="1:12" ht="4.5" customHeight="1">
      <c r="A189" s="21"/>
      <c r="J189" s="21"/>
      <c r="K189" s="14"/>
      <c r="L189" s="14"/>
    </row>
    <row r="190" spans="1:12" ht="11.25">
      <c r="A190" s="21"/>
      <c r="J190" s="21"/>
      <c r="K190" s="14"/>
      <c r="L190" s="14"/>
    </row>
    <row r="191" spans="1:12" ht="11.25">
      <c r="A191" s="21"/>
      <c r="J191" s="21"/>
      <c r="K191" s="14"/>
      <c r="L191" s="14"/>
    </row>
    <row r="192" spans="1:12" ht="11.25">
      <c r="A192" s="21"/>
      <c r="J192" s="21"/>
      <c r="K192" s="14"/>
      <c r="L192" s="14"/>
    </row>
    <row r="193" spans="1:12" ht="4.5" customHeight="1">
      <c r="A193" s="21"/>
      <c r="J193" s="21"/>
      <c r="K193" s="14"/>
      <c r="L193" s="14"/>
    </row>
    <row r="194" spans="11:12" ht="11.25">
      <c r="K194" s="14"/>
      <c r="L194" s="14"/>
    </row>
    <row r="195" spans="11:12" ht="11.25">
      <c r="K195" s="14"/>
      <c r="L195" s="14"/>
    </row>
    <row r="196" spans="11:12" ht="11.25">
      <c r="K196" s="14"/>
      <c r="L196" s="14"/>
    </row>
    <row r="197" spans="11:12" ht="4.5" customHeight="1">
      <c r="K197" s="14"/>
      <c r="L197" s="14"/>
    </row>
    <row r="198" spans="11:12" ht="11.25">
      <c r="K198" s="14"/>
      <c r="L198" s="14"/>
    </row>
    <row r="199" spans="11:12" ht="11.25">
      <c r="K199" s="14"/>
      <c r="L199" s="14"/>
    </row>
    <row r="200" spans="11:12" ht="11.25">
      <c r="K200" s="14"/>
      <c r="L200" s="14"/>
    </row>
    <row r="201" spans="11:12" ht="11.25">
      <c r="K201" s="14"/>
      <c r="L201" s="14"/>
    </row>
    <row r="202" spans="5:12" ht="11.25">
      <c r="E202" s="197"/>
      <c r="K202" s="14"/>
      <c r="L202" s="14"/>
    </row>
    <row r="203" spans="5:12" ht="11.25">
      <c r="E203" s="197"/>
      <c r="K203" s="14"/>
      <c r="L203" s="14"/>
    </row>
    <row r="204" spans="5:12" ht="11.25">
      <c r="E204" s="197"/>
      <c r="K204" s="14"/>
      <c r="L204" s="14"/>
    </row>
    <row r="205" spans="11:12" ht="11.25">
      <c r="K205" s="14"/>
      <c r="L205" s="14"/>
    </row>
    <row r="206" spans="11:12" ht="11.25">
      <c r="K206" s="14"/>
      <c r="L206" s="14"/>
    </row>
    <row r="207" spans="11:12" ht="11.25">
      <c r="K207" s="14"/>
      <c r="L207" s="14"/>
    </row>
    <row r="208" spans="11:12" ht="11.25">
      <c r="K208" s="14"/>
      <c r="L208" s="14"/>
    </row>
    <row r="209" spans="11:12" ht="11.25">
      <c r="K209" s="14"/>
      <c r="L209" s="14"/>
    </row>
    <row r="210" spans="11:12" ht="4.5" customHeight="1">
      <c r="K210" s="14"/>
      <c r="L210" s="14"/>
    </row>
    <row r="211" spans="11:12" ht="11.25">
      <c r="K211" s="14"/>
      <c r="L211" s="14"/>
    </row>
    <row r="212" spans="11:12" ht="11.25">
      <c r="K212" s="14"/>
      <c r="L212" s="14"/>
    </row>
    <row r="213" spans="11:12" ht="11.25">
      <c r="K213" s="14"/>
      <c r="L213" s="14"/>
    </row>
    <row r="214" spans="11:12" ht="4.5" customHeight="1">
      <c r="K214" s="14"/>
      <c r="L214" s="14"/>
    </row>
    <row r="215" spans="2:12" ht="11.25">
      <c r="B215" s="70"/>
      <c r="K215" s="14"/>
      <c r="L215" s="14"/>
    </row>
    <row r="216" spans="11:12" ht="11.25">
      <c r="K216" s="14"/>
      <c r="L216" s="14"/>
    </row>
    <row r="217" spans="11:12" ht="11.25">
      <c r="K217" s="14"/>
      <c r="L217" s="14"/>
    </row>
    <row r="218" spans="11:12" ht="11.25">
      <c r="K218" s="14"/>
      <c r="L218" s="14"/>
    </row>
    <row r="219" spans="11:12" ht="11.25">
      <c r="K219" s="14"/>
      <c r="L219" s="14"/>
    </row>
    <row r="220" spans="11:12" ht="11.25">
      <c r="K220" s="14"/>
      <c r="L220" s="14"/>
    </row>
    <row r="221" spans="11:12" ht="11.25">
      <c r="K221" s="14"/>
      <c r="L221" s="14"/>
    </row>
    <row r="222" spans="11:12" ht="11.25">
      <c r="K222" s="14"/>
      <c r="L222" s="14"/>
    </row>
    <row r="223" spans="11:12" ht="11.25">
      <c r="K223" s="14"/>
      <c r="L223" s="14"/>
    </row>
    <row r="224" spans="11:12" ht="11.25">
      <c r="K224" s="14"/>
      <c r="L224" s="14"/>
    </row>
    <row r="225" spans="11:12" ht="11.25">
      <c r="K225" s="14"/>
      <c r="L225" s="14"/>
    </row>
    <row r="226" spans="11:12" ht="11.25">
      <c r="K226" s="14"/>
      <c r="L226" s="14"/>
    </row>
    <row r="227" spans="11:12" ht="11.25">
      <c r="K227" s="14"/>
      <c r="L227" s="14"/>
    </row>
    <row r="228" spans="11:12" ht="11.25">
      <c r="K228" s="14"/>
      <c r="L228" s="14"/>
    </row>
    <row r="229" spans="11:12" ht="11.25">
      <c r="K229" s="14"/>
      <c r="L229" s="14"/>
    </row>
    <row r="230" spans="11:12" ht="11.25">
      <c r="K230" s="14"/>
      <c r="L230" s="14"/>
    </row>
    <row r="231" spans="11:12" ht="11.25">
      <c r="K231" s="14"/>
      <c r="L231" s="14"/>
    </row>
    <row r="232" spans="11:12" ht="11.25">
      <c r="K232" s="14"/>
      <c r="L232" s="14"/>
    </row>
    <row r="233" spans="11:12" ht="11.25">
      <c r="K233" s="14"/>
      <c r="L233" s="14"/>
    </row>
    <row r="234" spans="11:12" ht="11.25">
      <c r="K234" s="14"/>
      <c r="L234" s="14"/>
    </row>
    <row r="235" spans="11:12" ht="11.25">
      <c r="K235" s="14"/>
      <c r="L235" s="14"/>
    </row>
    <row r="236" spans="11:12" ht="11.25">
      <c r="K236" s="14"/>
      <c r="L236" s="14"/>
    </row>
    <row r="237" spans="11:12" ht="11.25">
      <c r="K237" s="14"/>
      <c r="L237" s="14"/>
    </row>
    <row r="238" spans="11:12" ht="11.25">
      <c r="K238" s="14"/>
      <c r="L238" s="14"/>
    </row>
    <row r="239" spans="11:12" ht="11.25">
      <c r="K239" s="14"/>
      <c r="L239" s="14"/>
    </row>
    <row r="240" spans="11:12" ht="11.25">
      <c r="K240" s="14"/>
      <c r="L240" s="14"/>
    </row>
    <row r="241" spans="11:12" ht="11.25">
      <c r="K241" s="14"/>
      <c r="L241" s="14"/>
    </row>
    <row r="242" spans="11:12" ht="11.25">
      <c r="K242" s="14"/>
      <c r="L242" s="14"/>
    </row>
    <row r="243" spans="11:12" ht="11.25">
      <c r="K243" s="14"/>
      <c r="L243" s="14"/>
    </row>
    <row r="244" spans="11:12" ht="11.25">
      <c r="K244" s="14"/>
      <c r="L244" s="14"/>
    </row>
    <row r="245" spans="11:12" ht="11.25">
      <c r="K245" s="14"/>
      <c r="L245" s="14"/>
    </row>
    <row r="246" spans="11:12" ht="11.25">
      <c r="K246" s="14"/>
      <c r="L246" s="14"/>
    </row>
    <row r="247" spans="11:12" ht="11.25">
      <c r="K247" s="14"/>
      <c r="L247" s="14"/>
    </row>
    <row r="248" spans="11:12" ht="11.25">
      <c r="K248" s="14"/>
      <c r="L248" s="14"/>
    </row>
    <row r="249" spans="11:12" ht="11.25">
      <c r="K249" s="14"/>
      <c r="L249" s="14"/>
    </row>
    <row r="250" spans="11:12" ht="11.25">
      <c r="K250" s="14"/>
      <c r="L250" s="14"/>
    </row>
    <row r="251" spans="11:12" ht="11.25">
      <c r="K251" s="14"/>
      <c r="L251" s="14"/>
    </row>
    <row r="252" spans="11:12" ht="11.25">
      <c r="K252" s="14"/>
      <c r="L252" s="14"/>
    </row>
    <row r="253" spans="11:12" ht="11.25">
      <c r="K253" s="14"/>
      <c r="L253" s="14"/>
    </row>
    <row r="254" spans="11:12" ht="11.25">
      <c r="K254" s="14"/>
      <c r="L254" s="14"/>
    </row>
    <row r="255" spans="11:12" ht="11.25">
      <c r="K255" s="14"/>
      <c r="L255" s="14"/>
    </row>
    <row r="256" spans="11:12" ht="11.25">
      <c r="K256" s="14"/>
      <c r="L256" s="14"/>
    </row>
    <row r="257" spans="11:12" ht="11.25">
      <c r="K257" s="14"/>
      <c r="L257" s="14"/>
    </row>
    <row r="258" spans="11:12" ht="11.25">
      <c r="K258" s="14"/>
      <c r="L258" s="14"/>
    </row>
    <row r="259" spans="11:12" ht="11.25">
      <c r="K259" s="14"/>
      <c r="L259" s="14"/>
    </row>
    <row r="260" spans="11:12" ht="11.25">
      <c r="K260" s="14"/>
      <c r="L260" s="14"/>
    </row>
    <row r="261" spans="11:12" ht="11.25">
      <c r="K261" s="14"/>
      <c r="L261" s="14"/>
    </row>
    <row r="262" spans="11:12" ht="11.25">
      <c r="K262" s="14"/>
      <c r="L262" s="14"/>
    </row>
    <row r="263" spans="11:12" ht="11.25">
      <c r="K263" s="14"/>
      <c r="L263" s="14"/>
    </row>
    <row r="264" spans="11:12" ht="11.25">
      <c r="K264" s="14"/>
      <c r="L264" s="14"/>
    </row>
    <row r="265" spans="11:12" ht="11.25">
      <c r="K265" s="14"/>
      <c r="L265" s="14"/>
    </row>
    <row r="266" spans="11:12" ht="11.25">
      <c r="K266" s="14"/>
      <c r="L266" s="14"/>
    </row>
    <row r="267" spans="11:12" ht="11.25">
      <c r="K267" s="14"/>
      <c r="L267" s="14"/>
    </row>
    <row r="268" spans="11:12" ht="11.25">
      <c r="K268" s="14"/>
      <c r="L268" s="14"/>
    </row>
    <row r="269" spans="11:12" ht="11.25">
      <c r="K269" s="14"/>
      <c r="L269" s="14"/>
    </row>
    <row r="270" spans="11:12" ht="11.25">
      <c r="K270" s="14"/>
      <c r="L270" s="14"/>
    </row>
    <row r="271" spans="11:12" ht="11.25">
      <c r="K271" s="14"/>
      <c r="L271" s="14"/>
    </row>
    <row r="272" spans="11:12" ht="11.25">
      <c r="K272" s="14"/>
      <c r="L272" s="14"/>
    </row>
    <row r="273" spans="11:12" ht="11.25">
      <c r="K273" s="14"/>
      <c r="L273" s="14"/>
    </row>
    <row r="274" spans="11:12" ht="11.25">
      <c r="K274" s="14"/>
      <c r="L274" s="14"/>
    </row>
    <row r="275" spans="11:12" ht="11.25">
      <c r="K275" s="14"/>
      <c r="L275" s="14"/>
    </row>
    <row r="276" spans="11:12" ht="11.25">
      <c r="K276" s="14"/>
      <c r="L276" s="14"/>
    </row>
    <row r="277" spans="11:12" ht="11.25">
      <c r="K277" s="14"/>
      <c r="L277" s="14"/>
    </row>
    <row r="278" spans="11:12" ht="11.25">
      <c r="K278" s="14"/>
      <c r="L278" s="14"/>
    </row>
    <row r="279" spans="11:12" ht="11.25">
      <c r="K279" s="14"/>
      <c r="L279" s="14"/>
    </row>
    <row r="280" spans="11:12" ht="11.25">
      <c r="K280" s="14"/>
      <c r="L280" s="14"/>
    </row>
    <row r="281" spans="11:12" ht="11.25">
      <c r="K281" s="14"/>
      <c r="L281" s="14"/>
    </row>
    <row r="282" spans="11:12" ht="11.25">
      <c r="K282" s="14"/>
      <c r="L282" s="14"/>
    </row>
    <row r="283" spans="11:12" ht="11.25">
      <c r="K283" s="14"/>
      <c r="L283" s="14"/>
    </row>
    <row r="284" spans="11:12" ht="11.25">
      <c r="K284" s="14"/>
      <c r="L284" s="14"/>
    </row>
    <row r="285" spans="11:12" ht="11.25">
      <c r="K285" s="14"/>
      <c r="L285" s="14"/>
    </row>
    <row r="286" spans="11:12" ht="11.25">
      <c r="K286" s="14"/>
      <c r="L286" s="14"/>
    </row>
    <row r="287" spans="11:12" ht="11.25">
      <c r="K287" s="14"/>
      <c r="L287" s="14"/>
    </row>
    <row r="288" spans="11:12" ht="11.25">
      <c r="K288" s="14"/>
      <c r="L288" s="14"/>
    </row>
    <row r="289" spans="11:12" ht="11.25">
      <c r="K289" s="14"/>
      <c r="L289" s="14"/>
    </row>
    <row r="290" spans="11:12" ht="11.25">
      <c r="K290" s="14"/>
      <c r="L290" s="14"/>
    </row>
    <row r="291" spans="11:12" ht="11.25">
      <c r="K291" s="14"/>
      <c r="L291" s="14"/>
    </row>
    <row r="292" spans="11:12" ht="11.25">
      <c r="K292" s="14"/>
      <c r="L292" s="14"/>
    </row>
    <row r="293" spans="11:12" ht="11.25">
      <c r="K293" s="14"/>
      <c r="L293" s="14"/>
    </row>
    <row r="294" spans="11:12" ht="11.25">
      <c r="K294" s="14"/>
      <c r="L294" s="14"/>
    </row>
    <row r="295" spans="11:12" ht="11.25">
      <c r="K295" s="14"/>
      <c r="L295" s="14"/>
    </row>
    <row r="296" spans="11:12" ht="11.25">
      <c r="K296" s="14"/>
      <c r="L296" s="14"/>
    </row>
    <row r="297" spans="11:12" ht="11.25">
      <c r="K297" s="14"/>
      <c r="L297" s="14"/>
    </row>
    <row r="298" spans="11:12" ht="11.25">
      <c r="K298" s="14"/>
      <c r="L298" s="14"/>
    </row>
    <row r="299" spans="11:12" ht="11.25">
      <c r="K299" s="14"/>
      <c r="L299" s="14"/>
    </row>
    <row r="300" spans="11:12" ht="11.25">
      <c r="K300" s="14"/>
      <c r="L300" s="14"/>
    </row>
    <row r="301" spans="11:12" ht="11.25">
      <c r="K301" s="14"/>
      <c r="L301" s="14"/>
    </row>
    <row r="302" spans="11:12" ht="11.25">
      <c r="K302" s="14"/>
      <c r="L302" s="14"/>
    </row>
    <row r="303" spans="11:12" ht="11.25">
      <c r="K303" s="14"/>
      <c r="L303" s="14"/>
    </row>
    <row r="304" spans="11:12" ht="11.25">
      <c r="K304" s="14"/>
      <c r="L304" s="14"/>
    </row>
    <row r="305" spans="11:12" ht="11.25">
      <c r="K305" s="14"/>
      <c r="L305" s="14"/>
    </row>
    <row r="306" spans="11:12" ht="11.25">
      <c r="K306" s="14"/>
      <c r="L306" s="14"/>
    </row>
    <row r="307" spans="11:12" ht="11.25">
      <c r="K307" s="14"/>
      <c r="L307" s="14"/>
    </row>
    <row r="308" spans="11:12" ht="11.25">
      <c r="K308" s="14"/>
      <c r="L308" s="14"/>
    </row>
    <row r="309" spans="11:12" ht="11.25">
      <c r="K309" s="14"/>
      <c r="L309" s="14"/>
    </row>
    <row r="310" spans="11:12" ht="11.25">
      <c r="K310" s="14"/>
      <c r="L310" s="14"/>
    </row>
    <row r="311" spans="11:12" ht="11.25">
      <c r="K311" s="14"/>
      <c r="L311" s="14"/>
    </row>
    <row r="312" spans="11:12" ht="11.25">
      <c r="K312" s="14"/>
      <c r="L312" s="14"/>
    </row>
    <row r="313" spans="11:12" ht="11.25">
      <c r="K313" s="14"/>
      <c r="L313" s="14"/>
    </row>
    <row r="314" spans="11:12" ht="11.25">
      <c r="K314" s="14"/>
      <c r="L314" s="14"/>
    </row>
    <row r="315" spans="11:12" ht="11.25">
      <c r="K315" s="14"/>
      <c r="L315" s="14"/>
    </row>
    <row r="316" spans="11:12" ht="11.25">
      <c r="K316" s="14"/>
      <c r="L316" s="14"/>
    </row>
    <row r="317" spans="11:12" ht="11.25">
      <c r="K317" s="14"/>
      <c r="L317" s="14"/>
    </row>
    <row r="318" spans="11:12" ht="11.25">
      <c r="K318" s="14"/>
      <c r="L318" s="14"/>
    </row>
    <row r="319" spans="11:12" ht="11.25">
      <c r="K319" s="14"/>
      <c r="L319" s="14"/>
    </row>
    <row r="320" spans="11:12" ht="11.25">
      <c r="K320" s="14"/>
      <c r="L320" s="14"/>
    </row>
    <row r="321" spans="11:12" ht="11.25">
      <c r="K321" s="14"/>
      <c r="L321" s="14"/>
    </row>
    <row r="322" spans="11:12" ht="11.25">
      <c r="K322" s="14"/>
      <c r="L322" s="14"/>
    </row>
    <row r="323" spans="11:12" ht="11.25">
      <c r="K323" s="14"/>
      <c r="L323" s="14"/>
    </row>
    <row r="324" spans="11:12" ht="11.25">
      <c r="K324" s="14"/>
      <c r="L324" s="14"/>
    </row>
    <row r="325" spans="11:12" ht="11.25">
      <c r="K325" s="14"/>
      <c r="L325" s="14"/>
    </row>
    <row r="326" spans="11:12" ht="11.25">
      <c r="K326" s="14"/>
      <c r="L326" s="14"/>
    </row>
    <row r="327" spans="11:12" ht="11.25">
      <c r="K327" s="14"/>
      <c r="L327" s="14"/>
    </row>
    <row r="328" spans="11:12" ht="11.25">
      <c r="K328" s="14"/>
      <c r="L328" s="14"/>
    </row>
    <row r="329" spans="11:12" ht="11.25">
      <c r="K329" s="14"/>
      <c r="L329" s="14"/>
    </row>
    <row r="330" spans="11:12" ht="11.25">
      <c r="K330" s="14"/>
      <c r="L330" s="14"/>
    </row>
    <row r="331" spans="11:12" ht="11.25">
      <c r="K331" s="14"/>
      <c r="L331" s="14"/>
    </row>
    <row r="332" spans="11:12" ht="11.25">
      <c r="K332" s="14"/>
      <c r="L332" s="14"/>
    </row>
    <row r="333" spans="11:12" ht="11.25">
      <c r="K333" s="14"/>
      <c r="L333" s="14"/>
    </row>
    <row r="334" spans="11:12" ht="11.25">
      <c r="K334" s="14"/>
      <c r="L334" s="14"/>
    </row>
    <row r="335" spans="11:12" ht="11.25">
      <c r="K335" s="14"/>
      <c r="L335" s="14"/>
    </row>
    <row r="336" spans="11:12" ht="11.25">
      <c r="K336" s="14"/>
      <c r="L336" s="14"/>
    </row>
    <row r="337" spans="11:12" ht="11.25">
      <c r="K337" s="14"/>
      <c r="L337" s="14"/>
    </row>
    <row r="338" spans="11:12" ht="11.25">
      <c r="K338" s="14"/>
      <c r="L338" s="14"/>
    </row>
    <row r="339" spans="11:12" ht="11.25">
      <c r="K339" s="14"/>
      <c r="L339" s="14"/>
    </row>
    <row r="340" spans="11:12" ht="11.25">
      <c r="K340" s="14"/>
      <c r="L340" s="14"/>
    </row>
    <row r="341" spans="11:12" ht="11.25">
      <c r="K341" s="14"/>
      <c r="L341" s="14"/>
    </row>
    <row r="342" spans="11:12" ht="11.25">
      <c r="K342" s="14"/>
      <c r="L342" s="14"/>
    </row>
    <row r="343" spans="11:12" ht="11.25">
      <c r="K343" s="14"/>
      <c r="L343" s="14"/>
    </row>
    <row r="344" spans="11:12" ht="11.25">
      <c r="K344" s="14"/>
      <c r="L344" s="14"/>
    </row>
    <row r="345" spans="11:12" ht="11.25">
      <c r="K345" s="14"/>
      <c r="L345" s="14"/>
    </row>
    <row r="346" spans="11:12" ht="11.25">
      <c r="K346" s="14"/>
      <c r="L346" s="14"/>
    </row>
    <row r="347" spans="11:12" ht="11.25">
      <c r="K347" s="14"/>
      <c r="L347" s="14"/>
    </row>
    <row r="348" spans="11:12" ht="11.25">
      <c r="K348" s="14"/>
      <c r="L348" s="14"/>
    </row>
    <row r="349" spans="11:12" ht="11.25">
      <c r="K349" s="14"/>
      <c r="L349" s="14"/>
    </row>
    <row r="350" spans="11:12" ht="11.25">
      <c r="K350" s="14"/>
      <c r="L350" s="14"/>
    </row>
    <row r="351" spans="11:12" ht="11.25">
      <c r="K351" s="14"/>
      <c r="L351" s="14"/>
    </row>
    <row r="352" spans="11:12" ht="11.25">
      <c r="K352" s="14"/>
      <c r="L352" s="14"/>
    </row>
    <row r="353" spans="11:12" ht="11.25">
      <c r="K353" s="14"/>
      <c r="L353" s="14"/>
    </row>
    <row r="354" spans="11:12" ht="11.25">
      <c r="K354" s="14"/>
      <c r="L354" s="14"/>
    </row>
    <row r="355" spans="11:12" ht="11.25">
      <c r="K355" s="14"/>
      <c r="L355" s="14"/>
    </row>
    <row r="356" spans="11:12" ht="11.25">
      <c r="K356" s="14"/>
      <c r="L356" s="14"/>
    </row>
    <row r="357" spans="11:12" ht="11.25">
      <c r="K357" s="14"/>
      <c r="L357" s="14"/>
    </row>
    <row r="358" spans="11:12" ht="11.25">
      <c r="K358" s="14"/>
      <c r="L358" s="14"/>
    </row>
    <row r="359" spans="11:12" ht="11.25">
      <c r="K359" s="14"/>
      <c r="L359" s="14"/>
    </row>
    <row r="360" spans="11:12" ht="11.25">
      <c r="K360" s="14"/>
      <c r="L360" s="14"/>
    </row>
    <row r="361" spans="11:12" ht="11.25">
      <c r="K361" s="14"/>
      <c r="L361" s="14"/>
    </row>
    <row r="362" spans="11:12" ht="11.25">
      <c r="K362" s="14"/>
      <c r="L362" s="14"/>
    </row>
    <row r="363" spans="11:12" ht="11.25">
      <c r="K363" s="14"/>
      <c r="L363" s="14"/>
    </row>
    <row r="364" spans="11:12" ht="11.25">
      <c r="K364" s="14"/>
      <c r="L364" s="14"/>
    </row>
    <row r="365" spans="11:12" ht="11.25">
      <c r="K365" s="14"/>
      <c r="L365" s="14"/>
    </row>
    <row r="366" spans="11:12" ht="11.25">
      <c r="K366" s="14"/>
      <c r="L366" s="14"/>
    </row>
    <row r="367" spans="11:12" ht="11.25">
      <c r="K367" s="14"/>
      <c r="L367" s="14"/>
    </row>
    <row r="368" spans="11:12" ht="11.25">
      <c r="K368" s="14"/>
      <c r="L368" s="14"/>
    </row>
    <row r="369" spans="11:12" ht="11.25">
      <c r="K369" s="14"/>
      <c r="L369" s="14"/>
    </row>
    <row r="370" spans="11:12" ht="11.25">
      <c r="K370" s="14"/>
      <c r="L370" s="14"/>
    </row>
    <row r="371" spans="11:12" ht="11.25">
      <c r="K371" s="14"/>
      <c r="L371" s="14"/>
    </row>
    <row r="372" spans="11:12" ht="11.25">
      <c r="K372" s="14"/>
      <c r="L372" s="14"/>
    </row>
    <row r="373" spans="11:12" ht="11.25">
      <c r="K373" s="14"/>
      <c r="L373" s="14"/>
    </row>
    <row r="374" spans="11:12" ht="11.25">
      <c r="K374" s="14"/>
      <c r="L374" s="14"/>
    </row>
    <row r="375" spans="11:12" ht="11.25">
      <c r="K375" s="14"/>
      <c r="L375" s="14"/>
    </row>
    <row r="376" spans="11:12" ht="11.25">
      <c r="K376" s="14"/>
      <c r="L376" s="14"/>
    </row>
    <row r="377" spans="11:12" ht="11.25">
      <c r="K377" s="14"/>
      <c r="L377" s="14"/>
    </row>
    <row r="378" spans="11:12" ht="11.25">
      <c r="K378" s="14"/>
      <c r="L378" s="14"/>
    </row>
    <row r="379" spans="11:12" ht="11.25">
      <c r="K379" s="14"/>
      <c r="L379" s="14"/>
    </row>
    <row r="380" spans="11:12" ht="11.25">
      <c r="K380" s="14"/>
      <c r="L380" s="14"/>
    </row>
    <row r="381" spans="11:12" ht="11.25">
      <c r="K381" s="14"/>
      <c r="L381" s="14"/>
    </row>
    <row r="382" spans="11:12" ht="11.25">
      <c r="K382" s="14"/>
      <c r="L382" s="14"/>
    </row>
    <row r="383" spans="11:12" ht="11.25">
      <c r="K383" s="14"/>
      <c r="L383" s="14"/>
    </row>
    <row r="384" spans="11:12" ht="11.25">
      <c r="K384" s="14"/>
      <c r="L384" s="14"/>
    </row>
    <row r="385" spans="11:12" ht="11.25">
      <c r="K385" s="14"/>
      <c r="L385" s="14"/>
    </row>
    <row r="386" spans="11:12" ht="11.25">
      <c r="K386" s="14"/>
      <c r="L386" s="14"/>
    </row>
    <row r="387" spans="11:12" ht="11.25">
      <c r="K387" s="14"/>
      <c r="L387" s="14"/>
    </row>
    <row r="388" spans="11:12" ht="11.25">
      <c r="K388" s="14"/>
      <c r="L388" s="14"/>
    </row>
    <row r="389" spans="11:12" ht="11.25">
      <c r="K389" s="14"/>
      <c r="L389" s="14"/>
    </row>
    <row r="390" spans="11:12" ht="11.25">
      <c r="K390" s="14"/>
      <c r="L390" s="14"/>
    </row>
    <row r="391" spans="11:12" ht="11.25">
      <c r="K391" s="14"/>
      <c r="L391" s="14"/>
    </row>
    <row r="392" spans="11:12" ht="11.25">
      <c r="K392" s="14"/>
      <c r="L392" s="14"/>
    </row>
    <row r="393" spans="11:12" ht="11.25">
      <c r="K393" s="14"/>
      <c r="L393" s="14"/>
    </row>
    <row r="394" spans="11:12" ht="11.25">
      <c r="K394" s="14"/>
      <c r="L394" s="14"/>
    </row>
    <row r="395" spans="11:12" ht="11.25">
      <c r="K395" s="14"/>
      <c r="L395" s="14"/>
    </row>
    <row r="396" spans="11:12" ht="11.25">
      <c r="K396" s="14"/>
      <c r="L396" s="14"/>
    </row>
    <row r="397" spans="11:12" ht="11.25">
      <c r="K397" s="14"/>
      <c r="L397" s="14"/>
    </row>
    <row r="398" spans="11:12" ht="11.25">
      <c r="K398" s="14"/>
      <c r="L398" s="14"/>
    </row>
    <row r="399" spans="11:12" ht="11.25">
      <c r="K399" s="14"/>
      <c r="L399" s="14"/>
    </row>
    <row r="400" spans="11:12" ht="11.25">
      <c r="K400" s="14"/>
      <c r="L400" s="14"/>
    </row>
    <row r="401" spans="11:12" ht="11.25">
      <c r="K401" s="14"/>
      <c r="L401" s="14"/>
    </row>
    <row r="402" spans="11:12" ht="11.25">
      <c r="K402" s="14"/>
      <c r="L402" s="14"/>
    </row>
    <row r="403" spans="11:12" ht="11.25">
      <c r="K403" s="14"/>
      <c r="L403" s="14"/>
    </row>
    <row r="404" spans="11:12" ht="11.25">
      <c r="K404" s="14"/>
      <c r="L404" s="14"/>
    </row>
    <row r="405" spans="11:12" ht="11.25">
      <c r="K405" s="14"/>
      <c r="L405" s="14"/>
    </row>
    <row r="406" spans="11:12" ht="11.25">
      <c r="K406" s="14"/>
      <c r="L406" s="14"/>
    </row>
    <row r="407" spans="11:12" ht="11.25">
      <c r="K407" s="14"/>
      <c r="L407" s="14"/>
    </row>
    <row r="408" spans="11:12" ht="11.25">
      <c r="K408" s="14"/>
      <c r="L408" s="14"/>
    </row>
    <row r="409" spans="11:12" ht="11.25">
      <c r="K409" s="14"/>
      <c r="L409" s="14"/>
    </row>
    <row r="410" spans="11:12" ht="11.25">
      <c r="K410" s="14"/>
      <c r="L410" s="14"/>
    </row>
    <row r="411" spans="11:12" ht="11.25">
      <c r="K411" s="14"/>
      <c r="L411" s="14"/>
    </row>
    <row r="412" spans="11:12" ht="11.25">
      <c r="K412" s="14"/>
      <c r="L412" s="14"/>
    </row>
    <row r="413" spans="11:12" ht="11.25">
      <c r="K413" s="14"/>
      <c r="L413" s="14"/>
    </row>
    <row r="414" spans="11:12" ht="11.25">
      <c r="K414" s="14"/>
      <c r="L414" s="14"/>
    </row>
    <row r="415" spans="11:12" ht="11.25">
      <c r="K415" s="14"/>
      <c r="L415" s="14"/>
    </row>
    <row r="416" spans="11:12" ht="11.25">
      <c r="K416" s="14"/>
      <c r="L416" s="14"/>
    </row>
    <row r="417" spans="11:12" ht="11.25">
      <c r="K417" s="14"/>
      <c r="L417" s="14"/>
    </row>
    <row r="418" spans="11:12" ht="11.25">
      <c r="K418" s="14"/>
      <c r="L418" s="14"/>
    </row>
    <row r="419" spans="11:12" ht="11.25">
      <c r="K419" s="14"/>
      <c r="L419" s="14"/>
    </row>
    <row r="420" spans="11:12" ht="11.25">
      <c r="K420" s="14"/>
      <c r="L420" s="14"/>
    </row>
    <row r="421" spans="11:12" ht="11.25">
      <c r="K421" s="14"/>
      <c r="L421" s="14"/>
    </row>
    <row r="422" spans="11:12" ht="11.25">
      <c r="K422" s="14"/>
      <c r="L422" s="14"/>
    </row>
    <row r="423" spans="11:12" ht="11.25">
      <c r="K423" s="14"/>
      <c r="L423" s="14"/>
    </row>
    <row r="424" spans="11:12" ht="11.25">
      <c r="K424" s="14"/>
      <c r="L424" s="14"/>
    </row>
    <row r="425" spans="11:12" ht="11.25">
      <c r="K425" s="14"/>
      <c r="L425" s="14"/>
    </row>
    <row r="426" spans="11:12" ht="11.25">
      <c r="K426" s="14"/>
      <c r="L426" s="14"/>
    </row>
    <row r="427" spans="11:12" ht="11.25">
      <c r="K427" s="14"/>
      <c r="L427" s="14"/>
    </row>
    <row r="428" spans="11:12" ht="11.25">
      <c r="K428" s="14"/>
      <c r="L428" s="14"/>
    </row>
    <row r="429" spans="11:12" ht="11.25">
      <c r="K429" s="14"/>
      <c r="L429" s="14"/>
    </row>
    <row r="430" spans="11:12" ht="11.25">
      <c r="K430" s="14"/>
      <c r="L430" s="14"/>
    </row>
    <row r="431" spans="11:12" ht="11.25">
      <c r="K431" s="14"/>
      <c r="L431" s="14"/>
    </row>
    <row r="432" spans="11:12" ht="11.25">
      <c r="K432" s="14"/>
      <c r="L432" s="14"/>
    </row>
    <row r="433" spans="11:12" ht="11.25">
      <c r="K433" s="14"/>
      <c r="L433" s="14"/>
    </row>
    <row r="434" spans="11:12" ht="11.25">
      <c r="K434" s="14"/>
      <c r="L434" s="14"/>
    </row>
    <row r="435" spans="11:12" ht="11.25">
      <c r="K435" s="14"/>
      <c r="L435" s="14"/>
    </row>
    <row r="436" spans="11:12" ht="11.25">
      <c r="K436" s="14"/>
      <c r="L436" s="14"/>
    </row>
    <row r="437" spans="11:12" ht="11.25">
      <c r="K437" s="14"/>
      <c r="L437" s="14"/>
    </row>
    <row r="438" spans="11:12" ht="11.25">
      <c r="K438" s="14"/>
      <c r="L438" s="14"/>
    </row>
    <row r="439" spans="11:12" ht="11.25">
      <c r="K439" s="14"/>
      <c r="L439" s="14"/>
    </row>
    <row r="440" spans="11:12" ht="11.25">
      <c r="K440" s="14"/>
      <c r="L440" s="14"/>
    </row>
    <row r="441" spans="11:12" ht="11.25">
      <c r="K441" s="14"/>
      <c r="L441" s="14"/>
    </row>
    <row r="442" spans="11:12" ht="11.25">
      <c r="K442" s="14"/>
      <c r="L442" s="14"/>
    </row>
    <row r="443" spans="11:12" ht="11.25">
      <c r="K443" s="14"/>
      <c r="L443" s="14"/>
    </row>
    <row r="444" spans="11:12" ht="11.25">
      <c r="K444" s="14"/>
      <c r="L444" s="14"/>
    </row>
    <row r="445" spans="11:12" ht="11.25">
      <c r="K445" s="14"/>
      <c r="L445" s="14"/>
    </row>
    <row r="446" spans="11:12" ht="11.25">
      <c r="K446" s="14"/>
      <c r="L446" s="14"/>
    </row>
    <row r="447" spans="11:12" ht="11.25">
      <c r="K447" s="14"/>
      <c r="L447" s="14"/>
    </row>
    <row r="448" spans="11:12" ht="11.25">
      <c r="K448" s="14"/>
      <c r="L448" s="14"/>
    </row>
    <row r="449" spans="11:12" ht="11.25">
      <c r="K449" s="14"/>
      <c r="L449" s="14"/>
    </row>
    <row r="450" spans="11:12" ht="11.25">
      <c r="K450" s="14"/>
      <c r="L450" s="14"/>
    </row>
    <row r="451" spans="11:12" ht="11.25">
      <c r="K451" s="14"/>
      <c r="L451" s="14"/>
    </row>
    <row r="452" spans="11:12" ht="11.25">
      <c r="K452" s="14"/>
      <c r="L452" s="14"/>
    </row>
    <row r="453" spans="11:12" ht="11.25">
      <c r="K453" s="14"/>
      <c r="L453" s="14"/>
    </row>
    <row r="454" spans="11:12" ht="11.25">
      <c r="K454" s="14"/>
      <c r="L454" s="14"/>
    </row>
    <row r="455" spans="11:12" ht="11.25">
      <c r="K455" s="14"/>
      <c r="L455" s="14"/>
    </row>
    <row r="456" spans="11:12" ht="11.25">
      <c r="K456" s="14"/>
      <c r="L456" s="14"/>
    </row>
    <row r="457" spans="11:12" ht="11.25">
      <c r="K457" s="14"/>
      <c r="L457" s="14"/>
    </row>
    <row r="458" spans="11:12" ht="11.25">
      <c r="K458" s="14"/>
      <c r="L458" s="14"/>
    </row>
    <row r="459" spans="11:12" ht="11.25">
      <c r="K459" s="14"/>
      <c r="L459" s="14"/>
    </row>
    <row r="460" spans="11:12" ht="11.25">
      <c r="K460" s="14"/>
      <c r="L460" s="14"/>
    </row>
    <row r="461" spans="11:12" ht="11.25">
      <c r="K461" s="14"/>
      <c r="L461" s="14"/>
    </row>
    <row r="462" spans="11:12" ht="11.25">
      <c r="K462" s="14"/>
      <c r="L462" s="14"/>
    </row>
    <row r="463" spans="11:12" ht="11.25">
      <c r="K463" s="14"/>
      <c r="L463" s="14"/>
    </row>
    <row r="464" spans="11:12" ht="11.25">
      <c r="K464" s="14"/>
      <c r="L464" s="14"/>
    </row>
    <row r="465" spans="11:12" ht="11.25">
      <c r="K465" s="14"/>
      <c r="L465" s="14"/>
    </row>
    <row r="466" spans="11:12" ht="11.25">
      <c r="K466" s="14"/>
      <c r="L466" s="14"/>
    </row>
    <row r="467" spans="11:12" ht="11.25">
      <c r="K467" s="14"/>
      <c r="L467" s="14"/>
    </row>
    <row r="468" spans="11:12" ht="11.25">
      <c r="K468" s="14"/>
      <c r="L468" s="14"/>
    </row>
    <row r="469" spans="11:12" ht="11.25">
      <c r="K469" s="14"/>
      <c r="L469" s="14"/>
    </row>
    <row r="470" spans="11:12" ht="11.25">
      <c r="K470" s="14"/>
      <c r="L470" s="14"/>
    </row>
    <row r="471" spans="11:12" ht="11.25">
      <c r="K471" s="14"/>
      <c r="L471" s="14"/>
    </row>
    <row r="472" spans="11:12" ht="11.25">
      <c r="K472" s="14"/>
      <c r="L472" s="14"/>
    </row>
    <row r="473" spans="11:12" ht="11.25">
      <c r="K473" s="14"/>
      <c r="L473" s="14"/>
    </row>
    <row r="474" spans="11:12" ht="11.25">
      <c r="K474" s="14"/>
      <c r="L474" s="14"/>
    </row>
    <row r="475" spans="11:12" ht="11.25">
      <c r="K475" s="14"/>
      <c r="L475" s="14"/>
    </row>
    <row r="476" spans="11:12" ht="11.25">
      <c r="K476" s="14"/>
      <c r="L476" s="14"/>
    </row>
    <row r="477" spans="11:12" ht="11.25">
      <c r="K477" s="14"/>
      <c r="L477" s="14"/>
    </row>
    <row r="478" spans="11:12" ht="11.25">
      <c r="K478" s="14"/>
      <c r="L478" s="14"/>
    </row>
    <row r="479" spans="11:12" ht="11.25">
      <c r="K479" s="14"/>
      <c r="L479" s="14"/>
    </row>
    <row r="480" spans="11:12" ht="11.25">
      <c r="K480" s="14"/>
      <c r="L480" s="14"/>
    </row>
    <row r="481" spans="11:12" ht="11.25">
      <c r="K481" s="14"/>
      <c r="L481" s="14"/>
    </row>
    <row r="482" spans="11:12" ht="11.25">
      <c r="K482" s="14"/>
      <c r="L482" s="14"/>
    </row>
    <row r="483" spans="11:12" ht="11.25">
      <c r="K483" s="14"/>
      <c r="L483" s="14"/>
    </row>
    <row r="484" spans="11:12" ht="11.25">
      <c r="K484" s="14"/>
      <c r="L484" s="14"/>
    </row>
    <row r="485" spans="11:12" ht="11.25">
      <c r="K485" s="14"/>
      <c r="L485" s="14"/>
    </row>
    <row r="486" spans="11:12" ht="11.25">
      <c r="K486" s="14"/>
      <c r="L486" s="14"/>
    </row>
    <row r="487" spans="11:12" ht="11.25">
      <c r="K487" s="14"/>
      <c r="L487" s="14"/>
    </row>
    <row r="488" spans="11:12" ht="11.25">
      <c r="K488" s="14"/>
      <c r="L488" s="14"/>
    </row>
    <row r="489" spans="11:12" ht="11.25">
      <c r="K489" s="14"/>
      <c r="L489" s="14"/>
    </row>
    <row r="490" spans="11:12" ht="11.25">
      <c r="K490" s="14"/>
      <c r="L490" s="14"/>
    </row>
    <row r="491" spans="11:12" ht="11.25">
      <c r="K491" s="14"/>
      <c r="L491" s="14"/>
    </row>
    <row r="492" spans="11:12" ht="11.25">
      <c r="K492" s="14"/>
      <c r="L492" s="14"/>
    </row>
    <row r="493" spans="11:12" ht="11.25">
      <c r="K493" s="14"/>
      <c r="L493" s="14"/>
    </row>
    <row r="494" spans="11:12" ht="11.25">
      <c r="K494" s="14"/>
      <c r="L494" s="14"/>
    </row>
    <row r="495" spans="11:12" ht="11.25">
      <c r="K495" s="14"/>
      <c r="L495" s="14"/>
    </row>
    <row r="496" spans="11:12" ht="11.25">
      <c r="K496" s="14"/>
      <c r="L496" s="14"/>
    </row>
    <row r="497" spans="11:12" ht="11.25">
      <c r="K497" s="14"/>
      <c r="L497" s="14"/>
    </row>
    <row r="498" spans="11:12" ht="11.25">
      <c r="K498" s="14"/>
      <c r="L498" s="14"/>
    </row>
    <row r="499" spans="11:12" ht="11.25">
      <c r="K499" s="14"/>
      <c r="L499" s="14"/>
    </row>
    <row r="500" spans="11:12" ht="11.25">
      <c r="K500" s="14"/>
      <c r="L500" s="14"/>
    </row>
    <row r="501" spans="11:12" ht="11.25">
      <c r="K501" s="14"/>
      <c r="L501" s="14"/>
    </row>
    <row r="502" spans="11:12" ht="11.25">
      <c r="K502" s="14"/>
      <c r="L502" s="14"/>
    </row>
    <row r="503" spans="11:12" ht="11.25">
      <c r="K503" s="14"/>
      <c r="L503" s="14"/>
    </row>
    <row r="504" spans="11:12" ht="11.25">
      <c r="K504" s="14"/>
      <c r="L504" s="14"/>
    </row>
    <row r="505" spans="11:12" ht="11.25">
      <c r="K505" s="14"/>
      <c r="L505" s="14"/>
    </row>
    <row r="506" spans="11:12" ht="11.25">
      <c r="K506" s="14"/>
      <c r="L506" s="14"/>
    </row>
    <row r="507" spans="11:12" ht="11.25">
      <c r="K507" s="14"/>
      <c r="L507" s="14"/>
    </row>
    <row r="508" spans="11:12" ht="11.25">
      <c r="K508" s="14"/>
      <c r="L508" s="14"/>
    </row>
    <row r="509" spans="11:12" ht="11.25">
      <c r="K509" s="14"/>
      <c r="L509" s="14"/>
    </row>
    <row r="510" spans="11:12" ht="11.25">
      <c r="K510" s="14"/>
      <c r="L510" s="14"/>
    </row>
    <row r="511" spans="11:12" ht="11.25">
      <c r="K511" s="14"/>
      <c r="L511" s="14"/>
    </row>
    <row r="512" spans="11:12" ht="11.25">
      <c r="K512" s="14"/>
      <c r="L512" s="14"/>
    </row>
    <row r="513" spans="11:12" ht="11.25">
      <c r="K513" s="14"/>
      <c r="L513" s="14"/>
    </row>
    <row r="514" spans="11:12" ht="11.25">
      <c r="K514" s="14"/>
      <c r="L514" s="14"/>
    </row>
    <row r="515" spans="11:12" ht="11.25">
      <c r="K515" s="14"/>
      <c r="L515" s="14"/>
    </row>
    <row r="516" spans="11:12" ht="11.25">
      <c r="K516" s="14"/>
      <c r="L516" s="14"/>
    </row>
    <row r="517" spans="11:12" ht="11.25">
      <c r="K517" s="14"/>
      <c r="L517" s="14"/>
    </row>
    <row r="518" spans="11:12" ht="11.25">
      <c r="K518" s="14"/>
      <c r="L518" s="14"/>
    </row>
    <row r="519" spans="11:12" ht="11.25">
      <c r="K519" s="14"/>
      <c r="L519" s="14"/>
    </row>
    <row r="520" spans="11:12" ht="11.25">
      <c r="K520" s="14"/>
      <c r="L520" s="14"/>
    </row>
    <row r="521" spans="11:12" ht="11.25">
      <c r="K521" s="14"/>
      <c r="L521" s="14"/>
    </row>
    <row r="522" spans="11:12" ht="11.25">
      <c r="K522" s="14"/>
      <c r="L522" s="14"/>
    </row>
    <row r="523" spans="11:12" ht="11.25">
      <c r="K523" s="14"/>
      <c r="L523" s="14"/>
    </row>
    <row r="524" spans="11:12" ht="11.25">
      <c r="K524" s="14"/>
      <c r="L524" s="14"/>
    </row>
    <row r="525" spans="11:12" ht="11.25">
      <c r="K525" s="14"/>
      <c r="L525" s="14"/>
    </row>
    <row r="526" spans="11:12" ht="11.25">
      <c r="K526" s="14"/>
      <c r="L526" s="14"/>
    </row>
    <row r="527" spans="11:12" ht="11.25">
      <c r="K527" s="14"/>
      <c r="L527" s="14"/>
    </row>
    <row r="528" spans="11:12" ht="11.25">
      <c r="K528" s="14"/>
      <c r="L528" s="14"/>
    </row>
    <row r="529" spans="11:12" ht="11.25">
      <c r="K529" s="14"/>
      <c r="L529" s="14"/>
    </row>
    <row r="530" spans="11:12" ht="11.25">
      <c r="K530" s="14"/>
      <c r="L530" s="14"/>
    </row>
    <row r="531" spans="11:12" ht="11.25">
      <c r="K531" s="14"/>
      <c r="L531" s="14"/>
    </row>
    <row r="532" spans="11:12" ht="11.25">
      <c r="K532" s="14"/>
      <c r="L532" s="14"/>
    </row>
    <row r="533" spans="11:12" ht="11.25">
      <c r="K533" s="14"/>
      <c r="L533" s="14"/>
    </row>
    <row r="534" spans="11:12" ht="11.25">
      <c r="K534" s="14"/>
      <c r="L534" s="14"/>
    </row>
    <row r="535" spans="11:12" ht="11.25">
      <c r="K535" s="14"/>
      <c r="L535" s="14"/>
    </row>
    <row r="536" spans="11:12" ht="11.25">
      <c r="K536" s="14"/>
      <c r="L536" s="14"/>
    </row>
    <row r="537" spans="11:12" ht="11.25">
      <c r="K537" s="14"/>
      <c r="L537" s="14"/>
    </row>
    <row r="538" spans="11:12" ht="11.25">
      <c r="K538" s="14"/>
      <c r="L538" s="14"/>
    </row>
    <row r="539" spans="11:12" ht="11.25">
      <c r="K539" s="14"/>
      <c r="L539" s="14"/>
    </row>
    <row r="540" spans="11:12" ht="11.25">
      <c r="K540" s="14"/>
      <c r="L540" s="14"/>
    </row>
    <row r="541" spans="11:12" ht="11.25">
      <c r="K541" s="14"/>
      <c r="L541" s="14"/>
    </row>
    <row r="542" spans="11:12" ht="11.25">
      <c r="K542" s="14"/>
      <c r="L542" s="14"/>
    </row>
    <row r="543" spans="11:12" ht="11.25">
      <c r="K543" s="14"/>
      <c r="L543" s="14"/>
    </row>
    <row r="544" spans="11:12" ht="11.25">
      <c r="K544" s="14"/>
      <c r="L544" s="14"/>
    </row>
    <row r="545" spans="11:12" ht="11.25">
      <c r="K545" s="14"/>
      <c r="L545" s="14"/>
    </row>
    <row r="546" spans="11:12" ht="11.25">
      <c r="K546" s="14"/>
      <c r="L546" s="14"/>
    </row>
    <row r="547" spans="11:12" ht="11.25">
      <c r="K547" s="14"/>
      <c r="L547" s="14"/>
    </row>
    <row r="548" spans="11:12" ht="11.25">
      <c r="K548" s="14"/>
      <c r="L548" s="14"/>
    </row>
    <row r="549" spans="11:12" ht="11.25">
      <c r="K549" s="14"/>
      <c r="L549" s="14"/>
    </row>
    <row r="550" spans="11:12" ht="11.25">
      <c r="K550" s="14"/>
      <c r="L550" s="14"/>
    </row>
    <row r="551" spans="11:12" ht="11.25">
      <c r="K551" s="14"/>
      <c r="L551" s="14"/>
    </row>
    <row r="552" spans="11:12" ht="11.25">
      <c r="K552" s="14"/>
      <c r="L552" s="14"/>
    </row>
    <row r="553" spans="11:12" ht="11.25">
      <c r="K553" s="14"/>
      <c r="L553" s="14"/>
    </row>
    <row r="554" spans="11:12" ht="11.25">
      <c r="K554" s="14"/>
      <c r="L554" s="14"/>
    </row>
    <row r="555" spans="11:12" ht="11.25">
      <c r="K555" s="14"/>
      <c r="L555" s="14"/>
    </row>
    <row r="556" spans="11:12" ht="11.25">
      <c r="K556" s="14"/>
      <c r="L556" s="14"/>
    </row>
    <row r="557" spans="11:12" ht="11.25">
      <c r="K557" s="14"/>
      <c r="L557" s="14"/>
    </row>
    <row r="558" spans="11:12" ht="11.25">
      <c r="K558" s="14"/>
      <c r="L558" s="14"/>
    </row>
    <row r="559" spans="11:12" ht="11.25">
      <c r="K559" s="14"/>
      <c r="L559" s="14"/>
    </row>
    <row r="560" spans="11:12" ht="11.25">
      <c r="K560" s="14"/>
      <c r="L560" s="14"/>
    </row>
    <row r="561" spans="11:12" ht="11.25">
      <c r="K561" s="14"/>
      <c r="L561" s="14"/>
    </row>
    <row r="562" spans="11:12" ht="11.25">
      <c r="K562" s="14"/>
      <c r="L562" s="14"/>
    </row>
    <row r="563" spans="11:12" ht="11.25">
      <c r="K563" s="14"/>
      <c r="L563" s="14"/>
    </row>
    <row r="564" spans="11:12" ht="11.25">
      <c r="K564" s="14"/>
      <c r="L564" s="14"/>
    </row>
    <row r="565" spans="11:12" ht="11.25">
      <c r="K565" s="14"/>
      <c r="L565" s="14"/>
    </row>
    <row r="566" spans="11:12" ht="11.25">
      <c r="K566" s="14"/>
      <c r="L566" s="14"/>
    </row>
    <row r="567" spans="11:12" ht="11.25">
      <c r="K567" s="14"/>
      <c r="L567" s="14"/>
    </row>
    <row r="568" spans="11:12" ht="11.25">
      <c r="K568" s="14"/>
      <c r="L568" s="14"/>
    </row>
    <row r="569" spans="11:12" ht="11.25">
      <c r="K569" s="14"/>
      <c r="L569" s="14"/>
    </row>
    <row r="570" spans="11:12" ht="11.25">
      <c r="K570" s="14"/>
      <c r="L570" s="14"/>
    </row>
    <row r="571" spans="11:12" ht="11.25">
      <c r="K571" s="14"/>
      <c r="L571" s="14"/>
    </row>
    <row r="572" spans="11:12" ht="11.25">
      <c r="K572" s="14"/>
      <c r="L572" s="14"/>
    </row>
    <row r="573" spans="11:12" ht="11.25">
      <c r="K573" s="14"/>
      <c r="L573" s="14"/>
    </row>
    <row r="574" spans="11:12" ht="11.25">
      <c r="K574" s="14"/>
      <c r="L574" s="14"/>
    </row>
    <row r="575" spans="11:12" ht="11.25">
      <c r="K575" s="14"/>
      <c r="L575" s="14"/>
    </row>
    <row r="576" spans="11:12" ht="11.25">
      <c r="K576" s="14"/>
      <c r="L576" s="14"/>
    </row>
    <row r="577" spans="11:12" ht="11.25">
      <c r="K577" s="14"/>
      <c r="L577" s="14"/>
    </row>
    <row r="578" spans="11:12" ht="11.25">
      <c r="K578" s="14"/>
      <c r="L578" s="14"/>
    </row>
    <row r="579" spans="11:12" ht="11.25">
      <c r="K579" s="14"/>
      <c r="L579" s="14"/>
    </row>
    <row r="580" spans="11:12" ht="11.25">
      <c r="K580" s="14"/>
      <c r="L580" s="14"/>
    </row>
    <row r="581" spans="11:12" ht="11.25">
      <c r="K581" s="14"/>
      <c r="L581" s="14"/>
    </row>
    <row r="582" spans="11:12" ht="11.25">
      <c r="K582" s="14"/>
      <c r="L582" s="14"/>
    </row>
    <row r="583" spans="11:12" ht="11.25">
      <c r="K583" s="14"/>
      <c r="L583" s="14"/>
    </row>
    <row r="584" spans="11:12" ht="11.25">
      <c r="K584" s="14"/>
      <c r="L584" s="14"/>
    </row>
    <row r="585" spans="11:12" ht="11.25">
      <c r="K585" s="14"/>
      <c r="L585" s="14"/>
    </row>
    <row r="586" spans="11:12" ht="11.25">
      <c r="K586" s="14"/>
      <c r="L586" s="14"/>
    </row>
    <row r="587" spans="11:12" ht="11.25">
      <c r="K587" s="14"/>
      <c r="L587" s="14"/>
    </row>
    <row r="588" spans="11:12" ht="11.25">
      <c r="K588" s="14"/>
      <c r="L588" s="14"/>
    </row>
    <row r="589" spans="11:12" ht="11.25">
      <c r="K589" s="14"/>
      <c r="L589" s="14"/>
    </row>
    <row r="590" spans="11:12" ht="11.25">
      <c r="K590" s="14"/>
      <c r="L590" s="14"/>
    </row>
    <row r="591" spans="11:12" ht="11.25">
      <c r="K591" s="14"/>
      <c r="L591" s="14"/>
    </row>
    <row r="592" spans="11:12" ht="11.25">
      <c r="K592" s="14"/>
      <c r="L592" s="14"/>
    </row>
    <row r="593" spans="11:12" ht="11.25">
      <c r="K593" s="14"/>
      <c r="L593" s="14"/>
    </row>
    <row r="594" spans="11:12" ht="11.25">
      <c r="K594" s="14"/>
      <c r="L594" s="14"/>
    </row>
    <row r="595" spans="11:12" ht="11.25">
      <c r="K595" s="14"/>
      <c r="L595" s="14"/>
    </row>
    <row r="596" spans="11:12" ht="11.25">
      <c r="K596" s="14"/>
      <c r="L596" s="14"/>
    </row>
    <row r="597" spans="11:12" ht="11.25">
      <c r="K597" s="14"/>
      <c r="L597" s="14"/>
    </row>
    <row r="598" spans="11:12" ht="11.25">
      <c r="K598" s="14"/>
      <c r="L598" s="14"/>
    </row>
    <row r="599" spans="11:12" ht="11.25">
      <c r="K599" s="14"/>
      <c r="L599" s="14"/>
    </row>
    <row r="600" spans="11:12" ht="11.25">
      <c r="K600" s="14"/>
      <c r="L600" s="14"/>
    </row>
    <row r="601" spans="11:12" ht="11.25">
      <c r="K601" s="14"/>
      <c r="L601" s="14"/>
    </row>
    <row r="602" spans="11:12" ht="11.25">
      <c r="K602" s="14"/>
      <c r="L602" s="14"/>
    </row>
    <row r="603" spans="11:12" ht="11.25">
      <c r="K603" s="14"/>
      <c r="L603" s="14"/>
    </row>
    <row r="604" spans="11:12" ht="11.25">
      <c r="K604" s="14"/>
      <c r="L604" s="14"/>
    </row>
    <row r="605" spans="11:12" ht="11.25">
      <c r="K605" s="14"/>
      <c r="L605" s="14"/>
    </row>
    <row r="606" spans="11:12" ht="11.25">
      <c r="K606" s="14"/>
      <c r="L606" s="14"/>
    </row>
    <row r="607" spans="11:12" ht="11.25">
      <c r="K607" s="14"/>
      <c r="L607" s="14"/>
    </row>
    <row r="608" spans="11:12" ht="11.25">
      <c r="K608" s="14"/>
      <c r="L608" s="14"/>
    </row>
    <row r="609" spans="11:12" ht="11.25">
      <c r="K609" s="14"/>
      <c r="L609" s="14"/>
    </row>
    <row r="610" spans="11:12" ht="11.25">
      <c r="K610" s="14"/>
      <c r="L610" s="14"/>
    </row>
    <row r="611" spans="11:12" ht="11.25">
      <c r="K611" s="14"/>
      <c r="L611" s="14"/>
    </row>
    <row r="612" spans="11:12" ht="11.25">
      <c r="K612" s="14"/>
      <c r="L612" s="14"/>
    </row>
    <row r="613" spans="11:12" ht="11.25">
      <c r="K613" s="14"/>
      <c r="L613" s="14"/>
    </row>
    <row r="614" spans="11:12" ht="11.25">
      <c r="K614" s="14"/>
      <c r="L614" s="14"/>
    </row>
    <row r="615" spans="11:12" ht="11.25">
      <c r="K615" s="14"/>
      <c r="L615" s="14"/>
    </row>
    <row r="616" spans="11:12" ht="11.25">
      <c r="K616" s="14"/>
      <c r="L616" s="14"/>
    </row>
    <row r="617" spans="11:12" ht="11.25">
      <c r="K617" s="14"/>
      <c r="L617" s="14"/>
    </row>
    <row r="618" spans="11:12" ht="11.25">
      <c r="K618" s="14"/>
      <c r="L618" s="14"/>
    </row>
    <row r="619" spans="11:12" ht="11.25">
      <c r="K619" s="14"/>
      <c r="L619" s="14"/>
    </row>
    <row r="620" spans="11:12" ht="11.25">
      <c r="K620" s="14"/>
      <c r="L620" s="14"/>
    </row>
    <row r="621" spans="11:12" ht="11.25">
      <c r="K621" s="14"/>
      <c r="L621" s="14"/>
    </row>
    <row r="622" spans="11:12" ht="11.25">
      <c r="K622" s="14"/>
      <c r="L622" s="14"/>
    </row>
    <row r="623" spans="11:12" ht="11.25">
      <c r="K623" s="14"/>
      <c r="L623" s="14"/>
    </row>
    <row r="624" spans="11:12" ht="11.25">
      <c r="K624" s="14"/>
      <c r="L624" s="14"/>
    </row>
    <row r="625" spans="11:12" ht="11.25">
      <c r="K625" s="14"/>
      <c r="L625" s="14"/>
    </row>
    <row r="626" spans="11:12" ht="11.25">
      <c r="K626" s="14"/>
      <c r="L626" s="14"/>
    </row>
    <row r="627" spans="11:12" ht="11.25">
      <c r="K627" s="14"/>
      <c r="L627" s="14"/>
    </row>
    <row r="628" spans="11:12" ht="11.25">
      <c r="K628" s="14"/>
      <c r="L628" s="14"/>
    </row>
    <row r="629" spans="11:12" ht="11.25">
      <c r="K629" s="14"/>
      <c r="L629" s="14"/>
    </row>
    <row r="630" spans="11:12" ht="11.25">
      <c r="K630" s="14"/>
      <c r="L630" s="14"/>
    </row>
    <row r="631" spans="11:12" ht="11.25">
      <c r="K631" s="14"/>
      <c r="L631" s="14"/>
    </row>
    <row r="632" spans="11:12" ht="11.25">
      <c r="K632" s="14"/>
      <c r="L632" s="14"/>
    </row>
    <row r="633" spans="11:12" ht="11.25">
      <c r="K633" s="14"/>
      <c r="L633" s="14"/>
    </row>
    <row r="634" spans="11:12" ht="11.25">
      <c r="K634" s="14"/>
      <c r="L634" s="14"/>
    </row>
    <row r="635" spans="11:12" ht="11.25">
      <c r="K635" s="14"/>
      <c r="L635" s="14"/>
    </row>
    <row r="636" spans="11:12" ht="11.25">
      <c r="K636" s="14"/>
      <c r="L636" s="14"/>
    </row>
    <row r="637" spans="11:12" ht="11.25">
      <c r="K637" s="14"/>
      <c r="L637" s="14"/>
    </row>
    <row r="638" spans="11:12" ht="11.25">
      <c r="K638" s="14"/>
      <c r="L638" s="14"/>
    </row>
    <row r="639" spans="11:12" ht="11.25">
      <c r="K639" s="14"/>
      <c r="L639" s="14"/>
    </row>
    <row r="640" spans="11:12" ht="11.25">
      <c r="K640" s="14"/>
      <c r="L640" s="14"/>
    </row>
    <row r="641" spans="11:12" ht="11.25">
      <c r="K641" s="14"/>
      <c r="L641" s="14"/>
    </row>
    <row r="642" spans="11:12" ht="11.25">
      <c r="K642" s="14"/>
      <c r="L642" s="14"/>
    </row>
    <row r="643" spans="11:12" ht="11.25">
      <c r="K643" s="14"/>
      <c r="L643" s="14"/>
    </row>
    <row r="644" spans="11:12" ht="11.25">
      <c r="K644" s="14"/>
      <c r="L644" s="14"/>
    </row>
    <row r="645" spans="11:12" ht="11.25">
      <c r="K645" s="14"/>
      <c r="L645" s="14"/>
    </row>
    <row r="646" spans="11:12" ht="11.25">
      <c r="K646" s="14"/>
      <c r="L646" s="14"/>
    </row>
    <row r="647" spans="11:12" ht="11.25">
      <c r="K647" s="14"/>
      <c r="L647" s="14"/>
    </row>
    <row r="648" spans="11:12" ht="11.25">
      <c r="K648" s="14"/>
      <c r="L648" s="14"/>
    </row>
    <row r="649" spans="11:12" ht="11.25">
      <c r="K649" s="14"/>
      <c r="L649" s="14"/>
    </row>
    <row r="650" spans="11:12" ht="11.25">
      <c r="K650" s="14"/>
      <c r="L650" s="14"/>
    </row>
    <row r="651" spans="11:12" ht="11.25">
      <c r="K651" s="14"/>
      <c r="L651" s="14"/>
    </row>
    <row r="652" spans="11:12" ht="11.25">
      <c r="K652" s="14"/>
      <c r="L652" s="14"/>
    </row>
    <row r="653" spans="11:12" ht="11.25">
      <c r="K653" s="14"/>
      <c r="L653" s="14"/>
    </row>
    <row r="654" spans="11:12" ht="11.25">
      <c r="K654" s="14"/>
      <c r="L654" s="14"/>
    </row>
    <row r="655" spans="11:12" ht="11.25">
      <c r="K655" s="14"/>
      <c r="L655" s="14"/>
    </row>
    <row r="656" spans="11:12" ht="11.25">
      <c r="K656" s="14"/>
      <c r="L656" s="14"/>
    </row>
    <row r="657" spans="11:12" ht="11.25">
      <c r="K657" s="14"/>
      <c r="L657" s="14"/>
    </row>
    <row r="658" spans="11:12" ht="11.25">
      <c r="K658" s="14"/>
      <c r="L658" s="14"/>
    </row>
    <row r="659" spans="11:12" ht="11.25">
      <c r="K659" s="14"/>
      <c r="L659" s="14"/>
    </row>
    <row r="660" spans="11:12" ht="11.25">
      <c r="K660" s="14"/>
      <c r="L660" s="14"/>
    </row>
    <row r="661" spans="11:12" ht="11.25">
      <c r="K661" s="14"/>
      <c r="L661" s="14"/>
    </row>
    <row r="662" spans="11:12" ht="11.25">
      <c r="K662" s="14"/>
      <c r="L662" s="14"/>
    </row>
    <row r="663" spans="11:12" ht="11.25">
      <c r="K663" s="14"/>
      <c r="L663" s="14"/>
    </row>
    <row r="664" spans="11:12" ht="11.25">
      <c r="K664" s="14"/>
      <c r="L664" s="14"/>
    </row>
    <row r="665" spans="11:12" ht="11.25">
      <c r="K665" s="14"/>
      <c r="L665" s="14"/>
    </row>
    <row r="666" spans="11:12" ht="11.25">
      <c r="K666" s="14"/>
      <c r="L666" s="14"/>
    </row>
    <row r="667" spans="11:12" ht="11.25">
      <c r="K667" s="14"/>
      <c r="L667" s="14"/>
    </row>
    <row r="668" spans="11:12" ht="11.25">
      <c r="K668" s="14"/>
      <c r="L668" s="14"/>
    </row>
    <row r="669" spans="11:12" ht="11.25">
      <c r="K669" s="14"/>
      <c r="L669" s="14"/>
    </row>
    <row r="670" spans="11:12" ht="11.25">
      <c r="K670" s="14"/>
      <c r="L670" s="14"/>
    </row>
    <row r="671" spans="11:12" ht="11.25">
      <c r="K671" s="14"/>
      <c r="L671" s="14"/>
    </row>
    <row r="672" spans="11:12" ht="11.25">
      <c r="K672" s="14"/>
      <c r="L672" s="14"/>
    </row>
    <row r="673" spans="11:12" ht="11.25">
      <c r="K673" s="14"/>
      <c r="L673" s="14"/>
    </row>
    <row r="674" spans="11:12" ht="11.25">
      <c r="K674" s="14"/>
      <c r="L674" s="14"/>
    </row>
    <row r="675" spans="11:12" ht="11.25">
      <c r="K675" s="14"/>
      <c r="L675" s="14"/>
    </row>
    <row r="676" spans="11:12" ht="11.25">
      <c r="K676" s="14"/>
      <c r="L676" s="14"/>
    </row>
    <row r="677" spans="11:12" ht="11.25">
      <c r="K677" s="14"/>
      <c r="L677" s="14"/>
    </row>
    <row r="678" spans="11:12" ht="11.25">
      <c r="K678" s="14"/>
      <c r="L678" s="14"/>
    </row>
    <row r="679" spans="11:12" ht="11.25">
      <c r="K679" s="14"/>
      <c r="L679" s="14"/>
    </row>
    <row r="680" spans="11:12" ht="11.25">
      <c r="K680" s="14"/>
      <c r="L680" s="14"/>
    </row>
    <row r="681" spans="11:12" ht="11.25">
      <c r="K681" s="14"/>
      <c r="L681" s="14"/>
    </row>
    <row r="682" spans="11:12" ht="11.25">
      <c r="K682" s="14"/>
      <c r="L682" s="14"/>
    </row>
    <row r="683" spans="11:12" ht="11.25">
      <c r="K683" s="14"/>
      <c r="L683" s="14"/>
    </row>
    <row r="684" spans="11:12" ht="11.25">
      <c r="K684" s="14"/>
      <c r="L684" s="14"/>
    </row>
    <row r="685" spans="11:12" ht="11.25">
      <c r="K685" s="14"/>
      <c r="L685" s="14"/>
    </row>
    <row r="686" spans="11:12" ht="11.25">
      <c r="K686" s="14"/>
      <c r="L686" s="14"/>
    </row>
    <row r="687" spans="11:12" ht="11.25">
      <c r="K687" s="14"/>
      <c r="L687" s="14"/>
    </row>
    <row r="688" spans="11:12" ht="11.25">
      <c r="K688" s="14"/>
      <c r="L688" s="14"/>
    </row>
    <row r="689" spans="11:12" ht="11.25">
      <c r="K689" s="14"/>
      <c r="L689" s="14"/>
    </row>
    <row r="690" spans="11:12" ht="11.25">
      <c r="K690" s="14"/>
      <c r="L690" s="14"/>
    </row>
    <row r="691" spans="11:12" ht="11.25">
      <c r="K691" s="14"/>
      <c r="L691" s="14"/>
    </row>
    <row r="692" spans="11:12" ht="11.25">
      <c r="K692" s="14"/>
      <c r="L692" s="14"/>
    </row>
    <row r="693" spans="11:12" ht="11.25">
      <c r="K693" s="14"/>
      <c r="L693" s="14"/>
    </row>
    <row r="694" spans="11:12" ht="11.25">
      <c r="K694" s="14"/>
      <c r="L694" s="14"/>
    </row>
    <row r="695" spans="11:12" ht="11.25">
      <c r="K695" s="14"/>
      <c r="L695" s="14"/>
    </row>
    <row r="696" spans="11:12" ht="11.25">
      <c r="K696" s="14"/>
      <c r="L696" s="14"/>
    </row>
    <row r="697" spans="11:12" ht="11.25">
      <c r="K697" s="14"/>
      <c r="L697" s="14"/>
    </row>
    <row r="698" spans="11:12" ht="11.25">
      <c r="K698" s="14"/>
      <c r="L698" s="14"/>
    </row>
    <row r="699" spans="11:12" ht="11.25">
      <c r="K699" s="14"/>
      <c r="L699" s="14"/>
    </row>
    <row r="700" spans="11:12" ht="11.25">
      <c r="K700" s="14"/>
      <c r="L700" s="14"/>
    </row>
    <row r="701" spans="11:12" ht="11.25">
      <c r="K701" s="14"/>
      <c r="L701" s="14"/>
    </row>
    <row r="702" spans="11:12" ht="11.25">
      <c r="K702" s="14"/>
      <c r="L702" s="14"/>
    </row>
    <row r="703" spans="11:12" ht="11.25">
      <c r="K703" s="14"/>
      <c r="L703" s="14"/>
    </row>
    <row r="704" spans="11:12" ht="11.25">
      <c r="K704" s="14"/>
      <c r="L704" s="14"/>
    </row>
    <row r="705" spans="11:12" ht="11.25">
      <c r="K705" s="14"/>
      <c r="L705" s="14"/>
    </row>
    <row r="706" spans="11:12" ht="11.25">
      <c r="K706" s="14"/>
      <c r="L706" s="14"/>
    </row>
    <row r="707" spans="11:12" ht="11.25">
      <c r="K707" s="14"/>
      <c r="L707" s="14"/>
    </row>
    <row r="708" spans="11:12" ht="11.25">
      <c r="K708" s="14"/>
      <c r="L708" s="14"/>
    </row>
    <row r="709" spans="11:12" ht="11.25">
      <c r="K709" s="14"/>
      <c r="L709" s="14"/>
    </row>
    <row r="710" spans="11:12" ht="11.25">
      <c r="K710" s="14"/>
      <c r="L710" s="14"/>
    </row>
    <row r="711" spans="11:12" ht="11.25">
      <c r="K711" s="14"/>
      <c r="L711" s="14"/>
    </row>
    <row r="712" spans="11:12" ht="11.25">
      <c r="K712" s="14"/>
      <c r="L712" s="14"/>
    </row>
    <row r="713" spans="11:12" ht="11.25">
      <c r="K713" s="14"/>
      <c r="L713" s="14"/>
    </row>
    <row r="714" spans="11:12" ht="11.25">
      <c r="K714" s="14"/>
      <c r="L714" s="14"/>
    </row>
    <row r="715" spans="11:12" ht="11.25">
      <c r="K715" s="14"/>
      <c r="L715" s="14"/>
    </row>
    <row r="716" spans="11:12" ht="11.25">
      <c r="K716" s="14"/>
      <c r="L716" s="14"/>
    </row>
    <row r="717" spans="11:12" ht="11.25">
      <c r="K717" s="14"/>
      <c r="L717" s="14"/>
    </row>
    <row r="718" spans="11:12" ht="11.25">
      <c r="K718" s="14"/>
      <c r="L718" s="14"/>
    </row>
    <row r="719" spans="11:12" ht="11.25">
      <c r="K719" s="14"/>
      <c r="L719" s="14"/>
    </row>
    <row r="720" spans="11:12" ht="11.25">
      <c r="K720" s="14"/>
      <c r="L720" s="14"/>
    </row>
    <row r="721" spans="11:12" ht="11.25">
      <c r="K721" s="14"/>
      <c r="L721" s="14"/>
    </row>
    <row r="722" spans="11:12" ht="11.25">
      <c r="K722" s="14"/>
      <c r="L722" s="14"/>
    </row>
    <row r="723" spans="11:12" ht="11.25">
      <c r="K723" s="14"/>
      <c r="L723" s="14"/>
    </row>
    <row r="724" spans="11:12" ht="11.25">
      <c r="K724" s="14"/>
      <c r="L724" s="14"/>
    </row>
    <row r="725" spans="11:12" ht="11.25">
      <c r="K725" s="14"/>
      <c r="L725" s="14"/>
    </row>
    <row r="726" spans="11:12" ht="11.25">
      <c r="K726" s="14"/>
      <c r="L726" s="14"/>
    </row>
    <row r="727" spans="11:12" ht="11.25">
      <c r="K727" s="14"/>
      <c r="L727" s="14"/>
    </row>
    <row r="728" spans="11:12" ht="11.25">
      <c r="K728" s="14"/>
      <c r="L728" s="14"/>
    </row>
    <row r="729" spans="11:12" ht="11.25">
      <c r="K729" s="14"/>
      <c r="L729" s="14"/>
    </row>
    <row r="730" spans="11:12" ht="11.25">
      <c r="K730" s="14"/>
      <c r="L730" s="14"/>
    </row>
    <row r="731" spans="11:12" ht="11.25">
      <c r="K731" s="14"/>
      <c r="L731" s="14"/>
    </row>
    <row r="732" spans="11:12" ht="11.25">
      <c r="K732" s="14"/>
      <c r="L732" s="14"/>
    </row>
    <row r="733" spans="11:12" ht="11.25">
      <c r="K733" s="14"/>
      <c r="L733" s="14"/>
    </row>
    <row r="734" spans="11:12" ht="11.25">
      <c r="K734" s="14"/>
      <c r="L734" s="14"/>
    </row>
    <row r="735" spans="11:12" ht="11.25">
      <c r="K735" s="14"/>
      <c r="L735" s="14"/>
    </row>
    <row r="736" spans="11:12" ht="11.25">
      <c r="K736" s="14"/>
      <c r="L736" s="14"/>
    </row>
    <row r="737" spans="11:12" ht="11.25">
      <c r="K737" s="14"/>
      <c r="L737" s="14"/>
    </row>
    <row r="738" spans="11:12" ht="11.25">
      <c r="K738" s="14"/>
      <c r="L738" s="14"/>
    </row>
    <row r="739" spans="11:12" ht="11.25">
      <c r="K739" s="14"/>
      <c r="L739" s="14"/>
    </row>
    <row r="740" spans="11:12" ht="11.25">
      <c r="K740" s="14"/>
      <c r="L740" s="14"/>
    </row>
    <row r="741" spans="11:12" ht="11.25">
      <c r="K741" s="14"/>
      <c r="L741" s="14"/>
    </row>
    <row r="742" spans="11:12" ht="11.25">
      <c r="K742" s="14"/>
      <c r="L742" s="14"/>
    </row>
    <row r="743" spans="11:12" ht="11.25">
      <c r="K743" s="14"/>
      <c r="L743" s="14"/>
    </row>
    <row r="744" spans="11:12" ht="11.25">
      <c r="K744" s="14"/>
      <c r="L744" s="14"/>
    </row>
    <row r="745" spans="11:12" ht="11.25">
      <c r="K745" s="14"/>
      <c r="L745" s="14"/>
    </row>
    <row r="746" spans="11:12" ht="11.25">
      <c r="K746" s="14"/>
      <c r="L746" s="14"/>
    </row>
    <row r="747" spans="11:12" ht="11.25">
      <c r="K747" s="14"/>
      <c r="L747" s="14"/>
    </row>
    <row r="748" spans="11:12" ht="11.25">
      <c r="K748" s="14"/>
      <c r="L748" s="14"/>
    </row>
    <row r="749" spans="11:12" ht="11.25">
      <c r="K749" s="14"/>
      <c r="L749" s="14"/>
    </row>
    <row r="750" spans="11:12" ht="11.25">
      <c r="K750" s="14"/>
      <c r="L750" s="14"/>
    </row>
    <row r="751" spans="11:12" ht="11.25">
      <c r="K751" s="14"/>
      <c r="L751" s="14"/>
    </row>
    <row r="752" spans="11:12" ht="11.25">
      <c r="K752" s="14"/>
      <c r="L752" s="14"/>
    </row>
    <row r="753" spans="11:12" ht="11.25">
      <c r="K753" s="14"/>
      <c r="L753" s="14"/>
    </row>
    <row r="754" spans="11:12" ht="11.25">
      <c r="K754" s="14"/>
      <c r="L754" s="14"/>
    </row>
    <row r="755" spans="11:12" ht="11.25">
      <c r="K755" s="14"/>
      <c r="L755" s="14"/>
    </row>
    <row r="756" spans="11:12" ht="11.25">
      <c r="K756" s="14"/>
      <c r="L756" s="14"/>
    </row>
    <row r="757" spans="11:12" ht="11.25">
      <c r="K757" s="14"/>
      <c r="L757" s="14"/>
    </row>
    <row r="758" spans="11:12" ht="11.25">
      <c r="K758" s="14"/>
      <c r="L758" s="14"/>
    </row>
    <row r="759" spans="11:12" ht="11.25">
      <c r="K759" s="14"/>
      <c r="L759" s="14"/>
    </row>
    <row r="760" spans="11:12" ht="11.25">
      <c r="K760" s="14"/>
      <c r="L760" s="14"/>
    </row>
    <row r="761" spans="11:12" ht="11.25">
      <c r="K761" s="14"/>
      <c r="L761" s="14"/>
    </row>
    <row r="762" spans="11:12" ht="11.25">
      <c r="K762" s="14"/>
      <c r="L762" s="14"/>
    </row>
    <row r="763" spans="11:12" ht="11.25">
      <c r="K763" s="14"/>
      <c r="L763" s="14"/>
    </row>
    <row r="764" spans="11:12" ht="11.25">
      <c r="K764" s="14"/>
      <c r="L764" s="14"/>
    </row>
    <row r="765" spans="11:12" ht="11.25">
      <c r="K765" s="14"/>
      <c r="L765" s="14"/>
    </row>
    <row r="766" spans="11:12" ht="11.25">
      <c r="K766" s="14"/>
      <c r="L766" s="14"/>
    </row>
    <row r="767" spans="11:12" ht="11.25">
      <c r="K767" s="14"/>
      <c r="L767" s="14"/>
    </row>
    <row r="768" spans="11:12" ht="11.25">
      <c r="K768" s="14"/>
      <c r="L768" s="14"/>
    </row>
    <row r="769" spans="11:12" ht="11.25">
      <c r="K769" s="14"/>
      <c r="L769" s="14"/>
    </row>
    <row r="770" spans="11:12" ht="11.25">
      <c r="K770" s="14"/>
      <c r="L770" s="14"/>
    </row>
    <row r="771" spans="11:12" ht="11.25">
      <c r="K771" s="14"/>
      <c r="L771" s="14"/>
    </row>
    <row r="772" spans="11:12" ht="11.25">
      <c r="K772" s="14"/>
      <c r="L772" s="14"/>
    </row>
    <row r="773" spans="11:12" ht="11.25">
      <c r="K773" s="14"/>
      <c r="L773" s="14"/>
    </row>
    <row r="774" spans="11:12" ht="11.25">
      <c r="K774" s="14"/>
      <c r="L774" s="14"/>
    </row>
    <row r="775" spans="11:12" ht="11.25">
      <c r="K775" s="14"/>
      <c r="L775" s="14"/>
    </row>
    <row r="776" spans="11:12" ht="11.25">
      <c r="K776" s="14"/>
      <c r="L776" s="14"/>
    </row>
    <row r="777" spans="11:12" ht="11.25">
      <c r="K777" s="14"/>
      <c r="L777" s="14"/>
    </row>
    <row r="778" spans="11:12" ht="11.25">
      <c r="K778" s="14"/>
      <c r="L778" s="14"/>
    </row>
    <row r="779" spans="11:12" ht="11.25">
      <c r="K779" s="14"/>
      <c r="L779" s="14"/>
    </row>
    <row r="780" spans="11:12" ht="11.25">
      <c r="K780" s="14"/>
      <c r="L780" s="14"/>
    </row>
    <row r="781" spans="11:12" ht="11.25">
      <c r="K781" s="14"/>
      <c r="L781" s="14"/>
    </row>
    <row r="782" spans="11:12" ht="11.25">
      <c r="K782" s="14"/>
      <c r="L782" s="14"/>
    </row>
    <row r="783" spans="11:12" ht="11.25">
      <c r="K783" s="14"/>
      <c r="L783" s="14"/>
    </row>
    <row r="784" spans="11:12" ht="11.25">
      <c r="K784" s="14"/>
      <c r="L784" s="14"/>
    </row>
    <row r="785" spans="11:12" ht="11.25">
      <c r="K785" s="14"/>
      <c r="L785" s="14"/>
    </row>
    <row r="786" spans="11:12" ht="11.25">
      <c r="K786" s="14"/>
      <c r="L786" s="14"/>
    </row>
    <row r="787" spans="11:12" ht="11.25">
      <c r="K787" s="14"/>
      <c r="L787" s="14"/>
    </row>
    <row r="788" spans="11:12" ht="11.25">
      <c r="K788" s="14"/>
      <c r="L788" s="14"/>
    </row>
    <row r="789" spans="11:12" ht="11.25">
      <c r="K789" s="14"/>
      <c r="L789" s="14"/>
    </row>
    <row r="790" spans="11:12" ht="11.25">
      <c r="K790" s="14"/>
      <c r="L790" s="14"/>
    </row>
    <row r="791" spans="11:12" ht="11.25">
      <c r="K791" s="14"/>
      <c r="L791" s="14"/>
    </row>
    <row r="792" spans="11:12" ht="11.25">
      <c r="K792" s="14"/>
      <c r="L792" s="14"/>
    </row>
    <row r="793" spans="11:12" ht="11.25">
      <c r="K793" s="14"/>
      <c r="L793" s="14"/>
    </row>
    <row r="794" spans="11:12" ht="11.25">
      <c r="K794" s="14"/>
      <c r="L794" s="14"/>
    </row>
    <row r="795" spans="11:12" ht="11.25">
      <c r="K795" s="14"/>
      <c r="L795" s="14"/>
    </row>
    <row r="796" spans="11:12" ht="11.25">
      <c r="K796" s="14"/>
      <c r="L796" s="14"/>
    </row>
    <row r="797" spans="11:12" ht="11.25">
      <c r="K797" s="14"/>
      <c r="L797" s="14"/>
    </row>
    <row r="798" spans="11:12" ht="11.25">
      <c r="K798" s="14"/>
      <c r="L798" s="14"/>
    </row>
    <row r="799" spans="11:12" ht="11.25">
      <c r="K799" s="14"/>
      <c r="L799" s="14"/>
    </row>
    <row r="800" spans="11:12" ht="11.25">
      <c r="K800" s="14"/>
      <c r="L800" s="14"/>
    </row>
    <row r="801" spans="11:12" ht="11.25">
      <c r="K801" s="14"/>
      <c r="L801" s="14"/>
    </row>
    <row r="802" spans="11:12" ht="11.25">
      <c r="K802" s="14"/>
      <c r="L802" s="14"/>
    </row>
    <row r="803" spans="11:12" ht="11.25">
      <c r="K803" s="14"/>
      <c r="L803" s="14"/>
    </row>
    <row r="804" spans="11:12" ht="11.25">
      <c r="K804" s="14"/>
      <c r="L804" s="14"/>
    </row>
    <row r="805" spans="11:12" ht="11.25">
      <c r="K805" s="14"/>
      <c r="L805" s="14"/>
    </row>
    <row r="806" spans="11:12" ht="11.25">
      <c r="K806" s="14"/>
      <c r="L806" s="14"/>
    </row>
    <row r="807" spans="11:12" ht="11.25">
      <c r="K807" s="14"/>
      <c r="L807" s="14"/>
    </row>
    <row r="808" spans="11:12" ht="11.25">
      <c r="K808" s="14"/>
      <c r="L808" s="14"/>
    </row>
    <row r="809" spans="11:12" ht="11.25">
      <c r="K809" s="14"/>
      <c r="L809" s="14"/>
    </row>
    <row r="810" spans="11:12" ht="11.25">
      <c r="K810" s="14"/>
      <c r="L810" s="14"/>
    </row>
    <row r="811" spans="11:12" ht="11.25">
      <c r="K811" s="14"/>
      <c r="L811" s="14"/>
    </row>
    <row r="812" spans="11:12" ht="11.25">
      <c r="K812" s="14"/>
      <c r="L812" s="14"/>
    </row>
    <row r="813" spans="11:12" ht="11.25">
      <c r="K813" s="14"/>
      <c r="L813" s="14"/>
    </row>
    <row r="814" spans="11:12" ht="11.25">
      <c r="K814" s="14"/>
      <c r="L814" s="14"/>
    </row>
    <row r="815" spans="11:12" ht="11.25">
      <c r="K815" s="14"/>
      <c r="L815" s="14"/>
    </row>
    <row r="816" spans="11:12" ht="11.25">
      <c r="K816" s="14"/>
      <c r="L816" s="14"/>
    </row>
    <row r="817" spans="11:12" ht="11.25">
      <c r="K817" s="14"/>
      <c r="L817" s="14"/>
    </row>
    <row r="818" spans="11:12" ht="11.25">
      <c r="K818" s="14"/>
      <c r="L818" s="14"/>
    </row>
    <row r="819" spans="11:12" ht="11.25">
      <c r="K819" s="14"/>
      <c r="L819" s="14"/>
    </row>
    <row r="820" spans="11:12" ht="11.25">
      <c r="K820" s="14"/>
      <c r="L820" s="14"/>
    </row>
    <row r="821" spans="11:12" ht="11.25">
      <c r="K821" s="14"/>
      <c r="L821" s="14"/>
    </row>
    <row r="822" spans="11:12" ht="11.25">
      <c r="K822" s="14"/>
      <c r="L822" s="14"/>
    </row>
    <row r="823" spans="11:12" ht="11.25">
      <c r="K823" s="14"/>
      <c r="L823" s="14"/>
    </row>
    <row r="824" spans="11:12" ht="11.25">
      <c r="K824" s="14"/>
      <c r="L824" s="14"/>
    </row>
    <row r="825" spans="11:12" ht="11.25">
      <c r="K825" s="14"/>
      <c r="L825" s="14"/>
    </row>
    <row r="826" spans="11:12" ht="11.25">
      <c r="K826" s="14"/>
      <c r="L826" s="14"/>
    </row>
    <row r="827" spans="11:12" ht="11.25">
      <c r="K827" s="14"/>
      <c r="L827" s="14"/>
    </row>
    <row r="828" spans="11:12" ht="11.25">
      <c r="K828" s="14"/>
      <c r="L828" s="14"/>
    </row>
    <row r="829" spans="11:12" ht="11.25">
      <c r="K829" s="14"/>
      <c r="L829" s="14"/>
    </row>
    <row r="830" spans="11:12" ht="11.25">
      <c r="K830" s="14"/>
      <c r="L830" s="14"/>
    </row>
    <row r="831" spans="11:12" ht="11.25">
      <c r="K831" s="14"/>
      <c r="L831" s="14"/>
    </row>
    <row r="832" spans="11:12" ht="11.25">
      <c r="K832" s="14"/>
      <c r="L832" s="14"/>
    </row>
    <row r="833" spans="11:12" ht="11.25">
      <c r="K833" s="14"/>
      <c r="L833" s="14"/>
    </row>
    <row r="834" spans="11:12" ht="11.25">
      <c r="K834" s="14"/>
      <c r="L834" s="14"/>
    </row>
    <row r="835" spans="11:12" ht="11.25">
      <c r="K835" s="14"/>
      <c r="L835" s="14"/>
    </row>
    <row r="836" spans="11:12" ht="11.25">
      <c r="K836" s="14"/>
      <c r="L836" s="14"/>
    </row>
    <row r="837" spans="11:12" ht="11.25">
      <c r="K837" s="14"/>
      <c r="L837" s="14"/>
    </row>
    <row r="838" spans="11:12" ht="11.25">
      <c r="K838" s="14"/>
      <c r="L838" s="14"/>
    </row>
    <row r="839" spans="11:12" ht="11.25">
      <c r="K839" s="14"/>
      <c r="L839" s="14"/>
    </row>
    <row r="840" spans="11:12" ht="11.25">
      <c r="K840" s="14"/>
      <c r="L840" s="14"/>
    </row>
    <row r="841" spans="11:12" ht="11.25">
      <c r="K841" s="14"/>
      <c r="L841" s="14"/>
    </row>
    <row r="842" spans="11:12" ht="11.25">
      <c r="K842" s="14"/>
      <c r="L842" s="14"/>
    </row>
    <row r="843" spans="11:12" ht="11.25">
      <c r="K843" s="14"/>
      <c r="L843" s="14"/>
    </row>
    <row r="844" spans="11:12" ht="11.25">
      <c r="K844" s="14"/>
      <c r="L844" s="14"/>
    </row>
    <row r="845" spans="11:12" ht="11.25">
      <c r="K845" s="14"/>
      <c r="L845" s="14"/>
    </row>
    <row r="846" spans="11:12" ht="11.25">
      <c r="K846" s="14"/>
      <c r="L846" s="14"/>
    </row>
    <row r="847" spans="11:12" ht="11.25">
      <c r="K847" s="14"/>
      <c r="L847" s="14"/>
    </row>
    <row r="848" spans="11:12" ht="11.25">
      <c r="K848" s="14"/>
      <c r="L848" s="14"/>
    </row>
    <row r="849" spans="11:12" ht="11.25">
      <c r="K849" s="14"/>
      <c r="L849" s="14"/>
    </row>
    <row r="850" spans="11:12" ht="11.25">
      <c r="K850" s="14"/>
      <c r="L850" s="14"/>
    </row>
    <row r="851" spans="11:12" ht="11.25">
      <c r="K851" s="14"/>
      <c r="L851" s="14"/>
    </row>
    <row r="852" spans="11:12" ht="11.25">
      <c r="K852" s="14"/>
      <c r="L852" s="14"/>
    </row>
    <row r="853" spans="11:12" ht="11.25">
      <c r="K853" s="14"/>
      <c r="L853" s="14"/>
    </row>
    <row r="854" spans="11:12" ht="11.25">
      <c r="K854" s="14"/>
      <c r="L854" s="14"/>
    </row>
    <row r="855" spans="11:12" ht="11.25">
      <c r="K855" s="14"/>
      <c r="L855" s="14"/>
    </row>
    <row r="856" spans="11:12" ht="11.25">
      <c r="K856" s="14"/>
      <c r="L856" s="14"/>
    </row>
    <row r="857" spans="11:12" ht="11.25">
      <c r="K857" s="14"/>
      <c r="L857" s="14"/>
    </row>
    <row r="858" spans="11:12" ht="11.25">
      <c r="K858" s="14"/>
      <c r="L858" s="14"/>
    </row>
    <row r="859" spans="11:12" ht="11.25">
      <c r="K859" s="14"/>
      <c r="L859" s="14"/>
    </row>
    <row r="860" spans="11:12" ht="11.25">
      <c r="K860" s="14"/>
      <c r="L860" s="14"/>
    </row>
    <row r="861" spans="11:12" ht="11.25">
      <c r="K861" s="14"/>
      <c r="L861" s="14"/>
    </row>
    <row r="862" spans="11:12" ht="11.25">
      <c r="K862" s="14"/>
      <c r="L862" s="14"/>
    </row>
    <row r="863" spans="11:12" ht="11.25">
      <c r="K863" s="14"/>
      <c r="L863" s="14"/>
    </row>
    <row r="864" spans="11:12" ht="11.25">
      <c r="K864" s="14"/>
      <c r="L864" s="14"/>
    </row>
    <row r="865" spans="11:12" ht="11.25">
      <c r="K865" s="14"/>
      <c r="L865" s="14"/>
    </row>
    <row r="866" spans="11:12" ht="11.25">
      <c r="K866" s="14"/>
      <c r="L866" s="14"/>
    </row>
    <row r="867" spans="11:12" ht="11.25">
      <c r="K867" s="14"/>
      <c r="L867" s="14"/>
    </row>
    <row r="868" spans="11:12" ht="11.25">
      <c r="K868" s="14"/>
      <c r="L868" s="14"/>
    </row>
    <row r="869" spans="11:12" ht="11.25">
      <c r="K869" s="14"/>
      <c r="L869" s="14"/>
    </row>
    <row r="870" spans="11:12" ht="11.25">
      <c r="K870" s="14"/>
      <c r="L870" s="14"/>
    </row>
    <row r="871" spans="11:12" ht="11.25">
      <c r="K871" s="14"/>
      <c r="L871" s="14"/>
    </row>
    <row r="872" spans="11:12" ht="11.25">
      <c r="K872" s="14"/>
      <c r="L872" s="14"/>
    </row>
    <row r="873" spans="11:12" ht="11.25">
      <c r="K873" s="14"/>
      <c r="L873" s="14"/>
    </row>
    <row r="874" spans="11:12" ht="11.25">
      <c r="K874" s="14"/>
      <c r="L874" s="14"/>
    </row>
    <row r="875" spans="11:12" ht="11.25">
      <c r="K875" s="14"/>
      <c r="L875" s="14"/>
    </row>
    <row r="876" spans="11:12" ht="11.25">
      <c r="K876" s="14"/>
      <c r="L876" s="14"/>
    </row>
    <row r="877" spans="11:12" ht="11.25">
      <c r="K877" s="14"/>
      <c r="L877" s="14"/>
    </row>
    <row r="878" spans="11:12" ht="11.25">
      <c r="K878" s="14"/>
      <c r="L878" s="14"/>
    </row>
    <row r="879" ht="11.25">
      <c r="L879" s="118"/>
    </row>
    <row r="880" ht="11.25">
      <c r="L880" s="118"/>
    </row>
    <row r="881" ht="11.25">
      <c r="L881" s="118"/>
    </row>
    <row r="882" ht="11.25">
      <c r="L882" s="118"/>
    </row>
    <row r="883" ht="11.25">
      <c r="L883" s="118"/>
    </row>
    <row r="884" ht="11.25">
      <c r="L884" s="118"/>
    </row>
    <row r="885" ht="11.25">
      <c r="L885" s="118"/>
    </row>
    <row r="886" ht="11.25">
      <c r="L886" s="118"/>
    </row>
    <row r="887" ht="11.25">
      <c r="L887" s="118"/>
    </row>
    <row r="888" ht="11.25">
      <c r="L888" s="118"/>
    </row>
    <row r="889" ht="11.25">
      <c r="L889" s="118"/>
    </row>
    <row r="890" ht="11.25">
      <c r="L890" s="118"/>
    </row>
    <row r="891" ht="11.25">
      <c r="L891" s="118"/>
    </row>
    <row r="892" ht="11.25">
      <c r="L892" s="118"/>
    </row>
    <row r="893" ht="11.25">
      <c r="L893" s="118"/>
    </row>
    <row r="894" ht="11.25">
      <c r="L894" s="118"/>
    </row>
    <row r="895" ht="11.25">
      <c r="L895" s="118"/>
    </row>
    <row r="896" ht="11.25">
      <c r="L896" s="118"/>
    </row>
    <row r="897" ht="11.25">
      <c r="L897" s="118"/>
    </row>
    <row r="898" ht="11.25">
      <c r="L898" s="118"/>
    </row>
    <row r="899" ht="11.25">
      <c r="L899" s="118"/>
    </row>
    <row r="900" ht="11.25">
      <c r="L900" s="118"/>
    </row>
    <row r="901" ht="11.25">
      <c r="L901" s="118"/>
    </row>
    <row r="902" ht="11.25">
      <c r="L902" s="118"/>
    </row>
    <row r="903" ht="11.25">
      <c r="L903" s="118"/>
    </row>
    <row r="904" ht="11.25">
      <c r="L904" s="118"/>
    </row>
    <row r="905" ht="11.25">
      <c r="L905" s="118"/>
    </row>
    <row r="906" ht="11.25">
      <c r="L906" s="118"/>
    </row>
    <row r="907" ht="11.25">
      <c r="L907" s="118"/>
    </row>
    <row r="908" ht="11.25">
      <c r="L908" s="118"/>
    </row>
    <row r="909" ht="11.25">
      <c r="L909" s="118"/>
    </row>
    <row r="910" ht="11.25">
      <c r="L910" s="118"/>
    </row>
    <row r="911" ht="11.25">
      <c r="L911" s="118"/>
    </row>
    <row r="912" ht="11.25">
      <c r="L912" s="118"/>
    </row>
    <row r="913" ht="11.25">
      <c r="L913" s="118"/>
    </row>
    <row r="914" ht="11.25">
      <c r="L914" s="118"/>
    </row>
    <row r="915" ht="11.25">
      <c r="L915" s="118"/>
    </row>
    <row r="916" ht="11.25">
      <c r="L916" s="118"/>
    </row>
    <row r="917" ht="11.25">
      <c r="L917" s="118"/>
    </row>
    <row r="918" ht="11.25">
      <c r="L918" s="118"/>
    </row>
    <row r="919" ht="11.25">
      <c r="L919" s="118"/>
    </row>
    <row r="920" ht="11.25">
      <c r="L920" s="118"/>
    </row>
    <row r="921" ht="11.25">
      <c r="L921" s="118"/>
    </row>
    <row r="922" ht="11.25">
      <c r="L922" s="118"/>
    </row>
    <row r="923" ht="11.25">
      <c r="L923" s="118"/>
    </row>
    <row r="924" ht="11.25">
      <c r="L924" s="118"/>
    </row>
    <row r="925" ht="11.25">
      <c r="L925" s="118"/>
    </row>
    <row r="926" ht="11.25">
      <c r="L926" s="118"/>
    </row>
    <row r="927" ht="11.25">
      <c r="L927" s="118"/>
    </row>
    <row r="928" ht="11.25">
      <c r="L928" s="118"/>
    </row>
    <row r="929" ht="11.25">
      <c r="L929" s="118"/>
    </row>
    <row r="930" ht="11.25">
      <c r="L930" s="118"/>
    </row>
    <row r="931" ht="11.25">
      <c r="L931" s="118"/>
    </row>
    <row r="932" ht="11.25">
      <c r="L932" s="118"/>
    </row>
    <row r="933" ht="11.25">
      <c r="L933" s="118"/>
    </row>
    <row r="934" ht="11.25">
      <c r="L934" s="118"/>
    </row>
    <row r="935" ht="11.25">
      <c r="L935" s="118"/>
    </row>
    <row r="936" ht="11.25">
      <c r="L936" s="118"/>
    </row>
    <row r="937" ht="11.25">
      <c r="L937" s="118"/>
    </row>
    <row r="938" ht="11.25">
      <c r="L938" s="118"/>
    </row>
    <row r="939" ht="11.25">
      <c r="L939" s="118"/>
    </row>
    <row r="940" ht="11.25">
      <c r="L940" s="118"/>
    </row>
    <row r="941" ht="11.25">
      <c r="L941" s="118"/>
    </row>
    <row r="942" ht="11.25">
      <c r="L942" s="118"/>
    </row>
    <row r="943" ht="11.25">
      <c r="L943" s="118"/>
    </row>
    <row r="944" ht="11.25">
      <c r="L944" s="118"/>
    </row>
    <row r="945" ht="11.25">
      <c r="L945" s="118"/>
    </row>
    <row r="946" ht="11.25">
      <c r="L946" s="118"/>
    </row>
    <row r="947" ht="11.25">
      <c r="L947" s="118"/>
    </row>
    <row r="948" ht="11.25">
      <c r="L948" s="118"/>
    </row>
    <row r="949" ht="11.25">
      <c r="L949" s="118"/>
    </row>
    <row r="950" ht="11.25">
      <c r="L950" s="118"/>
    </row>
    <row r="951" ht="11.25">
      <c r="L951" s="118"/>
    </row>
    <row r="952" ht="11.25">
      <c r="L952" s="118"/>
    </row>
    <row r="953" ht="11.25">
      <c r="L953" s="118"/>
    </row>
    <row r="954" ht="11.25">
      <c r="L954" s="118"/>
    </row>
    <row r="955" ht="11.25">
      <c r="L955" s="118"/>
    </row>
    <row r="956" ht="11.25">
      <c r="L956" s="118"/>
    </row>
    <row r="957" ht="11.25">
      <c r="L957" s="118"/>
    </row>
    <row r="958" ht="11.25">
      <c r="L958" s="118"/>
    </row>
    <row r="959" ht="11.25">
      <c r="L959" s="118"/>
    </row>
    <row r="960" ht="11.25">
      <c r="L960" s="118"/>
    </row>
    <row r="961" ht="11.25">
      <c r="L961" s="118"/>
    </row>
    <row r="962" ht="11.25">
      <c r="L962" s="118"/>
    </row>
    <row r="963" ht="11.25">
      <c r="L963" s="118"/>
    </row>
    <row r="964" ht="11.25">
      <c r="L964" s="118"/>
    </row>
    <row r="965" ht="11.25">
      <c r="L965" s="118"/>
    </row>
    <row r="966" ht="11.25">
      <c r="L966" s="118"/>
    </row>
    <row r="967" ht="11.25">
      <c r="L967" s="118"/>
    </row>
    <row r="968" ht="11.25">
      <c r="L968" s="118"/>
    </row>
    <row r="969" ht="11.25">
      <c r="L969" s="118"/>
    </row>
    <row r="970" ht="11.25">
      <c r="L970" s="118"/>
    </row>
    <row r="971" ht="11.25">
      <c r="L971" s="118"/>
    </row>
    <row r="972" ht="11.25">
      <c r="L972" s="118"/>
    </row>
    <row r="973" ht="11.25">
      <c r="L973" s="118"/>
    </row>
    <row r="974" ht="11.25">
      <c r="L974" s="118"/>
    </row>
    <row r="975" ht="11.25">
      <c r="L975" s="118"/>
    </row>
    <row r="976" ht="11.25">
      <c r="L976" s="118"/>
    </row>
    <row r="977" ht="11.25">
      <c r="L977" s="118"/>
    </row>
    <row r="978" ht="11.25">
      <c r="L978" s="118"/>
    </row>
    <row r="979" ht="11.25">
      <c r="L979" s="118"/>
    </row>
    <row r="980" ht="11.25">
      <c r="L980" s="118"/>
    </row>
    <row r="981" ht="11.25">
      <c r="L981" s="118"/>
    </row>
    <row r="982" ht="11.25">
      <c r="L982" s="118"/>
    </row>
    <row r="983" ht="11.25">
      <c r="L983" s="118"/>
    </row>
    <row r="984" ht="11.25">
      <c r="L984" s="118"/>
    </row>
    <row r="985" ht="11.25">
      <c r="L985" s="118"/>
    </row>
    <row r="986" ht="11.25">
      <c r="L986" s="118"/>
    </row>
    <row r="987" ht="11.25">
      <c r="L987" s="118"/>
    </row>
    <row r="988" ht="11.25">
      <c r="L988" s="118"/>
    </row>
    <row r="989" ht="11.25">
      <c r="L989" s="118"/>
    </row>
    <row r="990" ht="11.25">
      <c r="L990" s="118"/>
    </row>
    <row r="991" ht="11.25">
      <c r="L991" s="118"/>
    </row>
    <row r="992" ht="11.25">
      <c r="L992" s="118"/>
    </row>
    <row r="993" ht="11.25">
      <c r="L993" s="118"/>
    </row>
    <row r="994" ht="11.25">
      <c r="L994" s="118"/>
    </row>
    <row r="995" ht="11.25">
      <c r="L995" s="118"/>
    </row>
    <row r="996" ht="11.25">
      <c r="L996" s="118"/>
    </row>
    <row r="997" ht="11.25">
      <c r="L997" s="118"/>
    </row>
    <row r="998" ht="11.25">
      <c r="L998" s="118"/>
    </row>
    <row r="999" ht="11.25">
      <c r="L999" s="118"/>
    </row>
    <row r="1000" ht="11.25">
      <c r="L1000" s="118"/>
    </row>
    <row r="1001" ht="11.25">
      <c r="L1001" s="118"/>
    </row>
    <row r="1002" ht="11.25">
      <c r="L1002" s="118"/>
    </row>
    <row r="1003" ht="11.25">
      <c r="L1003" s="118"/>
    </row>
    <row r="1004" ht="11.25">
      <c r="L1004" s="118"/>
    </row>
    <row r="1005" ht="11.25">
      <c r="L1005" s="118"/>
    </row>
    <row r="1006" ht="11.25">
      <c r="L1006" s="118"/>
    </row>
    <row r="1007" ht="11.25">
      <c r="L1007" s="118"/>
    </row>
    <row r="1008" ht="11.25">
      <c r="L1008" s="118"/>
    </row>
    <row r="1009" ht="11.25">
      <c r="L1009" s="118"/>
    </row>
    <row r="1010" ht="11.25">
      <c r="L1010" s="118"/>
    </row>
    <row r="1011" ht="11.25">
      <c r="L1011" s="118"/>
    </row>
    <row r="1012" ht="11.25">
      <c r="L1012" s="118"/>
    </row>
    <row r="1013" ht="11.25">
      <c r="L1013" s="118"/>
    </row>
    <row r="1014" ht="11.25">
      <c r="L1014" s="118"/>
    </row>
    <row r="1015" ht="11.25">
      <c r="L1015" s="118"/>
    </row>
    <row r="1016" ht="11.25">
      <c r="L1016" s="118"/>
    </row>
    <row r="1017" ht="11.25">
      <c r="L1017" s="118"/>
    </row>
    <row r="1018" ht="11.25">
      <c r="L1018" s="118"/>
    </row>
    <row r="1019" ht="11.25">
      <c r="L1019" s="118"/>
    </row>
    <row r="1020" ht="11.25">
      <c r="L1020" s="118"/>
    </row>
    <row r="1021" ht="11.25">
      <c r="L1021" s="118"/>
    </row>
    <row r="1022" ht="11.25">
      <c r="L1022" s="118"/>
    </row>
    <row r="1023" ht="11.25">
      <c r="L1023" s="118"/>
    </row>
    <row r="1024" ht="11.25">
      <c r="L1024" s="118"/>
    </row>
    <row r="1025" ht="11.25">
      <c r="L1025" s="118"/>
    </row>
    <row r="1026" ht="11.25">
      <c r="L1026" s="118"/>
    </row>
    <row r="1027" ht="11.25">
      <c r="L1027" s="118"/>
    </row>
    <row r="1028" ht="11.25">
      <c r="L1028" s="118"/>
    </row>
    <row r="1029" ht="11.25">
      <c r="L1029" s="118"/>
    </row>
    <row r="1030" ht="11.25">
      <c r="L1030" s="118"/>
    </row>
    <row r="1031" ht="11.25">
      <c r="L1031" s="118"/>
    </row>
    <row r="1032" ht="11.25">
      <c r="L1032" s="118"/>
    </row>
    <row r="1033" ht="11.25">
      <c r="L1033" s="118"/>
    </row>
    <row r="1034" ht="11.25">
      <c r="L1034" s="118"/>
    </row>
    <row r="1035" ht="11.25">
      <c r="L1035" s="118"/>
    </row>
    <row r="1036" ht="11.25">
      <c r="L1036" s="118"/>
    </row>
    <row r="1037" ht="11.25">
      <c r="L1037" s="118"/>
    </row>
    <row r="1038" ht="11.25">
      <c r="L1038" s="118"/>
    </row>
    <row r="1039" ht="11.25">
      <c r="L1039" s="118"/>
    </row>
    <row r="1040" ht="11.25">
      <c r="L1040" s="118"/>
    </row>
    <row r="1041" ht="11.25">
      <c r="L1041" s="118"/>
    </row>
    <row r="1042" ht="11.25">
      <c r="L1042" s="118"/>
    </row>
    <row r="1043" ht="11.25">
      <c r="L1043" s="118"/>
    </row>
    <row r="1044" ht="11.25">
      <c r="L1044" s="118"/>
    </row>
    <row r="1045" ht="11.25">
      <c r="L1045" s="118"/>
    </row>
    <row r="1046" ht="11.25">
      <c r="L1046" s="118"/>
    </row>
    <row r="1047" ht="11.25">
      <c r="L1047" s="118"/>
    </row>
    <row r="1048" ht="11.25">
      <c r="L1048" s="118"/>
    </row>
    <row r="1049" ht="11.25">
      <c r="L1049" s="118"/>
    </row>
    <row r="1050" ht="11.25">
      <c r="L1050" s="118"/>
    </row>
    <row r="1051" ht="11.25">
      <c r="L1051" s="118"/>
    </row>
    <row r="1052" ht="11.25">
      <c r="L1052" s="118"/>
    </row>
    <row r="1053" ht="11.25">
      <c r="L1053" s="118"/>
    </row>
    <row r="1054" ht="11.25">
      <c r="L1054" s="118"/>
    </row>
    <row r="1055" ht="11.25">
      <c r="L1055" s="118"/>
    </row>
    <row r="1056" ht="11.25">
      <c r="L1056" s="118"/>
    </row>
    <row r="1057" ht="11.25">
      <c r="L1057" s="118"/>
    </row>
    <row r="1058" ht="11.25">
      <c r="L1058" s="118"/>
    </row>
    <row r="1059" ht="11.25">
      <c r="L1059" s="118"/>
    </row>
    <row r="1060" ht="11.25">
      <c r="L1060" s="118"/>
    </row>
    <row r="1061" ht="11.25">
      <c r="L1061" s="118"/>
    </row>
    <row r="1062" ht="11.25">
      <c r="L1062" s="118"/>
    </row>
  </sheetData>
  <mergeCells count="6">
    <mergeCell ref="B3:J3"/>
    <mergeCell ref="A6:A8"/>
    <mergeCell ref="B6:I6"/>
    <mergeCell ref="J6:J8"/>
    <mergeCell ref="B7:E7"/>
    <mergeCell ref="F7:I7"/>
  </mergeCells>
  <printOptions/>
  <pageMargins left="0.75" right="0.75" top="1" bottom="1" header="0.5" footer="0.5"/>
  <pageSetup fitToHeight="2" fitToWidth="1" horizontalDpi="1200" verticalDpi="1200" orientation="portrait" scale="56" r:id="rId1"/>
  <headerFooter alignWithMargins="0">
    <oddFooter>&amp;L&amp;"Braggadocio,Regular"CSP&amp;X2&amp;RPage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Science in Public Participation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Chambers</dc:creator>
  <cp:keywords/>
  <dc:description/>
  <cp:lastModifiedBy>David Chambers</cp:lastModifiedBy>
  <cp:lastPrinted>2003-05-22T20:15:24Z</cp:lastPrinted>
  <dcterms:created xsi:type="dcterms:W3CDTF">2002-12-03T18:01:02Z</dcterms:created>
  <dcterms:modified xsi:type="dcterms:W3CDTF">2003-05-23T21:14:06Z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