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220" windowHeight="9096" activeTab="0"/>
  </bookViews>
  <sheets>
    <sheet name="Water Treatment Cost Estimates" sheetId="1" r:id="rId1"/>
  </sheets>
  <definedNames>
    <definedName name="_xlnm.Print_Area" localSheetId="0">'Water Treatment Cost Estimates'!$A$1:$AL$47</definedName>
    <definedName name="_xlnm.Print_Titles" localSheetId="0">'Water Treatment Cost Estimates'!$A:$A</definedName>
  </definedNames>
  <calcPr fullCalcOnLoad="1"/>
</workbook>
</file>

<file path=xl/sharedStrings.xml><?xml version="1.0" encoding="utf-8"?>
<sst xmlns="http://schemas.openxmlformats.org/spreadsheetml/2006/main" count="163" uniqueCount="93">
  <si>
    <r>
      <t>CSP</t>
    </r>
    <r>
      <rPr>
        <vertAlign val="superscript"/>
        <sz val="12"/>
        <rFont val="Braggadocio"/>
        <family val="5"/>
      </rPr>
      <t>2</t>
    </r>
    <r>
      <rPr>
        <sz val="12"/>
        <rFont val="Times New Roman"/>
        <family val="0"/>
      </rPr>
      <t xml:space="preserve"> </t>
    </r>
    <r>
      <rPr>
        <b/>
        <sz val="14"/>
        <rFont val="Times New Roman"/>
        <family val="1"/>
      </rPr>
      <t>Financial Assurance Calculations</t>
    </r>
  </si>
  <si>
    <t>References:</t>
  </si>
  <si>
    <t>Facility</t>
  </si>
  <si>
    <t xml:space="preserve">Capital Costs </t>
  </si>
  <si>
    <t>Influent Water Quality</t>
  </si>
  <si>
    <t>Average Flow Rate (gpm)</t>
  </si>
  <si>
    <t>pH (su)</t>
  </si>
  <si>
    <t>Treatment Method</t>
  </si>
  <si>
    <t>Average Closure Costs for ARD Water Treatment Facilities</t>
  </si>
  <si>
    <t>TDS (mg/L)</t>
  </si>
  <si>
    <r>
      <t>Sulfate (mg 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/L)</t>
    </r>
  </si>
  <si>
    <t>Diss. Al (mg/L)</t>
  </si>
  <si>
    <t>Diss. As (mg/L)</t>
  </si>
  <si>
    <t>Diss. Cd (mg/L)</t>
  </si>
  <si>
    <t>Diss. Cu (mg/L)</t>
  </si>
  <si>
    <t>Total Fe (mg/L)</t>
  </si>
  <si>
    <t>Diss. Pb (mg/L)</t>
  </si>
  <si>
    <t>Total Mn (mg/L)</t>
  </si>
  <si>
    <t>Diss. Ni (mg/L)</t>
  </si>
  <si>
    <t>Diss. Zn (mg/L)</t>
  </si>
  <si>
    <t>Target Effluent Water Quality / Permit Requirements</t>
  </si>
  <si>
    <t>2.0 - 3.0</t>
  </si>
  <si>
    <t>2,500 - 3,750</t>
  </si>
  <si>
    <t>1,000 - 3,000</t>
  </si>
  <si>
    <r>
      <t>1</t>
    </r>
    <r>
      <rPr>
        <sz val="12"/>
        <rFont val="Times New Roman"/>
        <family val="1"/>
      </rPr>
      <t>Argo Tunnel (Denver, CO)</t>
    </r>
  </si>
  <si>
    <t>15 - 35</t>
  </si>
  <si>
    <t>0.02 - 0.3</t>
  </si>
  <si>
    <t>0.05 - 0.3</t>
  </si>
  <si>
    <t>4.0 - 7.0</t>
  </si>
  <si>
    <t>75 - 200</t>
  </si>
  <si>
    <t>0.005 - 0.15</t>
  </si>
  <si>
    <t>65- 150</t>
  </si>
  <si>
    <t>0.15 - 0.35</t>
  </si>
  <si>
    <t>25 - 50</t>
  </si>
  <si>
    <t>6.5 - 9.0</t>
  </si>
  <si>
    <t>n/a</t>
  </si>
  <si>
    <t>Sodium hydroxide precipitation</t>
  </si>
  <si>
    <t>Treatment Plant Construction</t>
  </si>
  <si>
    <t>O&amp;M Labor</t>
  </si>
  <si>
    <t xml:space="preserve">Annual Operating Costs </t>
  </si>
  <si>
    <t>Reagent Cost</t>
  </si>
  <si>
    <t>O&amp;M General Operations</t>
  </si>
  <si>
    <r>
      <t>1</t>
    </r>
    <r>
      <rPr>
        <sz val="12"/>
        <rFont val="Times New Roman"/>
        <family val="1"/>
      </rPr>
      <t>Eagle Mine (Eagle County, CO)</t>
    </r>
  </si>
  <si>
    <t>TSS (mg/l)</t>
  </si>
  <si>
    <t>Calcium hydroxide precipitation</t>
  </si>
  <si>
    <t>Design Capacity (gpm)</t>
  </si>
  <si>
    <r>
      <t>1</t>
    </r>
    <r>
      <rPr>
        <sz val="12"/>
        <rFont val="Times New Roman"/>
        <family val="1"/>
      </rPr>
      <t>Leadville Mine Drainage Tunnel (Leadville, CO)</t>
    </r>
  </si>
  <si>
    <r>
      <t>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stripping, NaOH precipitation</t>
    </r>
  </si>
  <si>
    <r>
      <t>2</t>
    </r>
    <r>
      <rPr>
        <sz val="12"/>
        <rFont val="Times New Roman"/>
        <family val="1"/>
      </rPr>
      <t>Golden Sunlight Mine (Whitehall, MT)</t>
    </r>
  </si>
  <si>
    <r>
      <t>2</t>
    </r>
    <r>
      <rPr>
        <sz val="12"/>
        <rFont val="Times New Roman"/>
        <family val="0"/>
      </rPr>
      <t>Hydrometrics, Inc. May 20, 1998. Estimated capital and operating costs for long-term water treatment at the Golden Sunlight Mine.</t>
    </r>
  </si>
  <si>
    <t>Replacement costs</t>
  </si>
  <si>
    <t>Maximum Flow Rate (gpm)</t>
  </si>
  <si>
    <t>Summary</t>
  </si>
  <si>
    <t>Subtotal Capital Costs</t>
  </si>
  <si>
    <t>Subtotal Annual Operating Costs</t>
  </si>
  <si>
    <r>
      <t>1</t>
    </r>
    <r>
      <rPr>
        <sz val="12"/>
        <rFont val="Times New Roman"/>
        <family val="0"/>
      </rPr>
      <t xml:space="preserve">Willow M, tenBrack C. 1999. </t>
    </r>
    <r>
      <rPr>
        <i/>
        <sz val="12"/>
        <rFont val="Times New Roman"/>
        <family val="1"/>
      </rPr>
      <t>Survey of three hard-rock acid draininage treatment facilities in Colorado</t>
    </r>
    <r>
      <rPr>
        <sz val="12"/>
        <rFont val="Times New Roman"/>
        <family val="0"/>
      </rPr>
      <t>. Tailings and Mine Waste '99. pp 759-767.  Based on actual costs.</t>
    </r>
  </si>
  <si>
    <t>Cost / 1000 gallon treated**</t>
  </si>
  <si>
    <t>**Based on average treatment rate.</t>
  </si>
  <si>
    <t>*Cost included in O&amp;M General Operations.</t>
  </si>
  <si>
    <r>
      <t>3</t>
    </r>
    <r>
      <rPr>
        <sz val="12"/>
        <rFont val="Times New Roman"/>
        <family val="1"/>
      </rPr>
      <t>Tyrone Mine (Tyrone, NM)</t>
    </r>
  </si>
  <si>
    <t>Other Treatment Related Facilities</t>
  </si>
  <si>
    <t>3.41 - 3.96</t>
  </si>
  <si>
    <r>
      <t>4</t>
    </r>
    <r>
      <rPr>
        <sz val="12"/>
        <rFont val="Times New Roman"/>
        <family val="1"/>
      </rPr>
      <t>Landusky Mine (Fort Bellknap, MT)</t>
    </r>
  </si>
  <si>
    <r>
      <t>4</t>
    </r>
    <r>
      <rPr>
        <sz val="12"/>
        <rFont val="Times New Roman"/>
        <family val="1"/>
      </rPr>
      <t>Zortman Mine (Fort Bellknap, MT)</t>
    </r>
  </si>
  <si>
    <t>175*</t>
  </si>
  <si>
    <t>&lt;0.03</t>
  </si>
  <si>
    <t>&lt;0.1</t>
  </si>
  <si>
    <t>Calcium hydroxide precipitation, ferric sulfate and floc. precipitation</t>
  </si>
  <si>
    <t>* This plant is operated intermitently, approximately 1 week/month.</t>
  </si>
  <si>
    <t>Sludge Disposal</t>
  </si>
  <si>
    <t>$45/ton*</t>
  </si>
  <si>
    <t>$15/cy*</t>
  </si>
  <si>
    <t>$50/cy*</t>
  </si>
  <si>
    <t>Average Cost</t>
  </si>
  <si>
    <t>/1000 gals treated</t>
  </si>
  <si>
    <t>6.0 - 9.0</t>
  </si>
  <si>
    <t>Total Cyanide (mg/L)</t>
  </si>
  <si>
    <t>Total Mercury (mg Hg/L)</t>
  </si>
  <si>
    <t>Total Ni (mg/L)</t>
  </si>
  <si>
    <t>Total Se (mg/L)</t>
  </si>
  <si>
    <t>Total Zn (mg/L)</t>
  </si>
  <si>
    <t>Nitrate + Nitrite as N (mg/L)</t>
  </si>
  <si>
    <t>Total Cu (mg/L)</t>
  </si>
  <si>
    <t>Total Cd (mg/L)</t>
  </si>
  <si>
    <t>Total As (mg/L)</t>
  </si>
  <si>
    <t>/gpm</t>
  </si>
  <si>
    <t>Annual Operating Cost</t>
  </si>
  <si>
    <t>Construction Cost</t>
  </si>
  <si>
    <r>
      <t>3</t>
    </r>
    <r>
      <rPr>
        <sz val="12"/>
        <rFont val="Times New Roman"/>
        <family val="1"/>
      </rPr>
      <t>NMED. 20</t>
    </r>
    <r>
      <rPr>
        <sz val="12"/>
        <rFont val="Times New Roman"/>
        <family val="0"/>
      </rPr>
      <t>01. Water treatment cost estimation prepared by Mark Phillip.</t>
    </r>
  </si>
  <si>
    <t>&lt;600</t>
  </si>
  <si>
    <t>n/a = not available</t>
  </si>
  <si>
    <r>
      <t>4</t>
    </r>
    <r>
      <rPr>
        <sz val="12"/>
        <rFont val="Times New Roman"/>
        <family val="0"/>
      </rPr>
      <t>Werner, Peter. 24 July 2000. Molycorp's Questa Mine Water Treatment Plan Cost Estimate. AND Bill Maehl personal communication 21 March 2003. AND Zortman and Landusky MPDES permits November 2001</t>
    </r>
  </si>
  <si>
    <t>24 April 2003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</si>
</sst>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"/>
    <numFmt numFmtId="167" formatCode="&quot;$&quot;#,##0.000_);[Red]\(&quot;$&quot;#,##0.000\)"/>
    <numFmt numFmtId="168" formatCode="&quot;$&quot;#,##0.0_);[Red]\(&quot;$&quot;#,##0.0\)"/>
    <numFmt numFmtId="169" formatCode="&quot;$&quot;#,##0.00"/>
    <numFmt numFmtId="170" formatCode="#,##0.0"/>
    <numFmt numFmtId="171" formatCode="#,##0.000"/>
    <numFmt numFmtId="172" formatCode="&quot;$&quot;#,##0.0"/>
    <numFmt numFmtId="173" formatCode="#,##0.0000"/>
    <numFmt numFmtId="174" formatCode="#,##0.00000"/>
  </numFmts>
  <fonts count="14">
    <font>
      <sz val="10"/>
      <name val="Times New Roman"/>
      <family val="0"/>
    </font>
    <font>
      <sz val="12"/>
      <name val="Times New Roman"/>
      <family val="0"/>
    </font>
    <font>
      <sz val="12"/>
      <name val="Braggadocio"/>
      <family val="5"/>
    </font>
    <font>
      <vertAlign val="superscript"/>
      <sz val="12"/>
      <name val="Braggadocio"/>
      <family val="5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0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wrapText="1"/>
    </xf>
    <xf numFmtId="166" fontId="1" fillId="0" borderId="8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6" fontId="1" fillId="0" borderId="0" xfId="0" applyNumberFormat="1" applyFont="1" applyAlignment="1">
      <alignment/>
    </xf>
    <xf numFmtId="169" fontId="1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7" xfId="0" applyFont="1" applyBorder="1" applyAlignment="1">
      <alignment horizontal="left" wrapText="1"/>
    </xf>
    <xf numFmtId="3" fontId="1" fillId="0" borderId="18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171" fontId="1" fillId="0" borderId="1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9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3" fillId="0" borderId="24" xfId="0" applyFont="1" applyBorder="1" applyAlignment="1">
      <alignment/>
    </xf>
    <xf numFmtId="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3" fillId="0" borderId="25" xfId="0" applyFont="1" applyBorder="1" applyAlignment="1">
      <alignment/>
    </xf>
    <xf numFmtId="6" fontId="1" fillId="0" borderId="17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33" xfId="0" applyFont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50" zoomScaleNormal="50" zoomScaleSheetLayoutView="65" workbookViewId="0" topLeftCell="A13">
      <selection activeCell="A4" sqref="A4"/>
    </sheetView>
  </sheetViews>
  <sheetFormatPr defaultColWidth="9.33203125" defaultRowHeight="12.75"/>
  <cols>
    <col min="1" max="1" width="18.66015625" style="1" customWidth="1"/>
    <col min="2" max="2" width="17.33203125" style="1" customWidth="1"/>
    <col min="3" max="3" width="11.16015625" style="1" customWidth="1"/>
    <col min="4" max="4" width="15.33203125" style="1" customWidth="1"/>
    <col min="5" max="5" width="16.66015625" style="1" bestFit="1" customWidth="1"/>
    <col min="6" max="6" width="14.16015625" style="1" customWidth="1"/>
    <col min="7" max="9" width="18.16015625" style="1" bestFit="1" customWidth="1"/>
    <col min="10" max="10" width="12.5" style="1" bestFit="1" customWidth="1"/>
    <col min="11" max="11" width="22.83203125" style="1" bestFit="1" customWidth="1"/>
    <col min="12" max="12" width="22.66015625" style="1" bestFit="1" customWidth="1"/>
    <col min="13" max="13" width="13.5" style="1" customWidth="1"/>
    <col min="14" max="14" width="19.66015625" style="1" customWidth="1"/>
    <col min="15" max="15" width="11.16015625" style="1" bestFit="1" customWidth="1"/>
    <col min="16" max="16" width="10.16015625" style="1" bestFit="1" customWidth="1"/>
    <col min="17" max="17" width="10.66015625" style="1" customWidth="1"/>
    <col min="18" max="18" width="11.83203125" style="1" customWidth="1"/>
    <col min="19" max="21" width="9.33203125" style="1" customWidth="1"/>
    <col min="22" max="22" width="10.66015625" style="1" customWidth="1"/>
    <col min="23" max="27" width="9.33203125" style="1" customWidth="1"/>
    <col min="28" max="28" width="10.16015625" style="1" bestFit="1" customWidth="1"/>
    <col min="29" max="29" width="10.66015625" style="1" bestFit="1" customWidth="1"/>
    <col min="30" max="30" width="12.33203125" style="1" bestFit="1" customWidth="1"/>
    <col min="31" max="31" width="10.5" style="1" customWidth="1"/>
    <col min="32" max="16384" width="9.33203125" style="1" customWidth="1"/>
  </cols>
  <sheetData>
    <row r="1" spans="1:4" ht="17.25">
      <c r="A1" s="116" t="s">
        <v>0</v>
      </c>
      <c r="B1" s="117"/>
      <c r="C1" s="117"/>
      <c r="D1" s="117"/>
    </row>
    <row r="2" spans="1:6" ht="17.25">
      <c r="A2" s="118" t="s">
        <v>8</v>
      </c>
      <c r="B2" s="117"/>
      <c r="C2" s="117"/>
      <c r="D2" s="117"/>
      <c r="E2" s="117"/>
      <c r="F2" s="117"/>
    </row>
    <row r="3" spans="1:3" ht="17.25">
      <c r="A3" s="95" t="s">
        <v>92</v>
      </c>
      <c r="B3" s="2"/>
      <c r="C3" s="2"/>
    </row>
    <row r="4" s="4" customFormat="1" ht="15"/>
    <row r="5" s="4" customFormat="1" ht="15.75" thickBot="1"/>
    <row r="6" spans="1:38" s="4" customFormat="1" ht="15.75" thickTop="1">
      <c r="A6" s="67"/>
      <c r="B6" s="119" t="s">
        <v>4</v>
      </c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  <c r="Q6" s="109" t="s">
        <v>20</v>
      </c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111"/>
      <c r="AG6" s="111"/>
      <c r="AH6" s="111"/>
      <c r="AI6" s="111"/>
      <c r="AJ6" s="111"/>
      <c r="AK6" s="111"/>
      <c r="AL6" s="112"/>
    </row>
    <row r="7" spans="1:38" s="4" customFormat="1" ht="49.5" thickBot="1">
      <c r="A7" s="12" t="s">
        <v>2</v>
      </c>
      <c r="B7" s="26" t="s">
        <v>5</v>
      </c>
      <c r="C7" s="9" t="s">
        <v>51</v>
      </c>
      <c r="D7" s="10" t="s">
        <v>6</v>
      </c>
      <c r="E7" s="9" t="s">
        <v>9</v>
      </c>
      <c r="F7" s="9" t="s">
        <v>43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64" t="s">
        <v>19</v>
      </c>
      <c r="Q7" s="26" t="s">
        <v>5</v>
      </c>
      <c r="R7" s="10" t="s">
        <v>6</v>
      </c>
      <c r="S7" s="9" t="s">
        <v>9</v>
      </c>
      <c r="T7" s="9" t="s">
        <v>43</v>
      </c>
      <c r="U7" s="9" t="s">
        <v>10</v>
      </c>
      <c r="V7" s="9" t="s">
        <v>81</v>
      </c>
      <c r="W7" s="9" t="s">
        <v>11</v>
      </c>
      <c r="X7" s="9" t="s">
        <v>84</v>
      </c>
      <c r="Y7" s="9" t="s">
        <v>13</v>
      </c>
      <c r="Z7" s="9" t="s">
        <v>83</v>
      </c>
      <c r="AA7" s="9" t="s">
        <v>14</v>
      </c>
      <c r="AB7" s="9" t="s">
        <v>82</v>
      </c>
      <c r="AC7" s="9" t="s">
        <v>76</v>
      </c>
      <c r="AD7" s="9" t="s">
        <v>15</v>
      </c>
      <c r="AE7" s="9" t="s">
        <v>77</v>
      </c>
      <c r="AF7" s="9" t="s">
        <v>16</v>
      </c>
      <c r="AG7" s="9" t="s">
        <v>17</v>
      </c>
      <c r="AH7" s="9" t="s">
        <v>18</v>
      </c>
      <c r="AI7" s="9" t="s">
        <v>78</v>
      </c>
      <c r="AJ7" s="9" t="s">
        <v>79</v>
      </c>
      <c r="AK7" s="9" t="s">
        <v>19</v>
      </c>
      <c r="AL7" s="64" t="s">
        <v>80</v>
      </c>
    </row>
    <row r="8" spans="1:38" s="4" customFormat="1" ht="33.75">
      <c r="A8" s="11" t="s">
        <v>24</v>
      </c>
      <c r="B8" s="15">
        <v>250</v>
      </c>
      <c r="C8" s="13">
        <v>550</v>
      </c>
      <c r="D8" s="13" t="s">
        <v>21</v>
      </c>
      <c r="E8" s="14" t="s">
        <v>22</v>
      </c>
      <c r="F8" s="14"/>
      <c r="G8" s="14" t="s">
        <v>23</v>
      </c>
      <c r="H8" s="14" t="s">
        <v>25</v>
      </c>
      <c r="I8" s="14" t="s">
        <v>26</v>
      </c>
      <c r="J8" s="14" t="s">
        <v>27</v>
      </c>
      <c r="K8" s="14" t="s">
        <v>28</v>
      </c>
      <c r="L8" s="14" t="s">
        <v>29</v>
      </c>
      <c r="M8" s="14" t="s">
        <v>30</v>
      </c>
      <c r="N8" s="14" t="s">
        <v>31</v>
      </c>
      <c r="O8" s="14" t="s">
        <v>32</v>
      </c>
      <c r="P8" s="65" t="s">
        <v>33</v>
      </c>
      <c r="Q8" s="15">
        <v>250</v>
      </c>
      <c r="R8" s="13" t="s">
        <v>34</v>
      </c>
      <c r="S8" s="16"/>
      <c r="T8" s="16"/>
      <c r="U8" s="17"/>
      <c r="V8" s="17"/>
      <c r="W8" s="16">
        <v>1</v>
      </c>
      <c r="X8" s="17">
        <v>0.05</v>
      </c>
      <c r="Y8" s="13">
        <v>0.003</v>
      </c>
      <c r="Z8" s="13"/>
      <c r="AA8" s="13">
        <v>0.017</v>
      </c>
      <c r="AB8" s="13"/>
      <c r="AC8" s="13"/>
      <c r="AD8" s="16">
        <v>1</v>
      </c>
      <c r="AE8" s="16"/>
      <c r="AF8" s="13">
        <v>0.0016</v>
      </c>
      <c r="AG8" s="16">
        <v>1</v>
      </c>
      <c r="AH8" s="13">
        <v>0.059</v>
      </c>
      <c r="AI8" s="13"/>
      <c r="AJ8" s="13"/>
      <c r="AK8" s="13">
        <v>0.125</v>
      </c>
      <c r="AL8" s="65"/>
    </row>
    <row r="9" spans="1:38" s="4" customFormat="1" ht="33.75">
      <c r="A9" s="18" t="s">
        <v>42</v>
      </c>
      <c r="B9" s="22">
        <v>400</v>
      </c>
      <c r="C9" s="19">
        <v>450</v>
      </c>
      <c r="D9" s="19">
        <v>5.1</v>
      </c>
      <c r="E9" s="20"/>
      <c r="F9" s="20">
        <v>70</v>
      </c>
      <c r="G9" s="21">
        <v>4000</v>
      </c>
      <c r="H9" s="20"/>
      <c r="I9" s="20"/>
      <c r="J9" s="20">
        <v>0.25</v>
      </c>
      <c r="K9" s="20">
        <v>1.08</v>
      </c>
      <c r="L9" s="20">
        <v>320</v>
      </c>
      <c r="M9" s="20">
        <v>0.07</v>
      </c>
      <c r="N9" s="20">
        <v>300</v>
      </c>
      <c r="O9" s="20" t="s">
        <v>35</v>
      </c>
      <c r="P9" s="66">
        <v>130</v>
      </c>
      <c r="Q9" s="22">
        <v>400</v>
      </c>
      <c r="R9" s="19" t="s">
        <v>34</v>
      </c>
      <c r="S9" s="23"/>
      <c r="T9" s="23">
        <v>20</v>
      </c>
      <c r="U9" s="24"/>
      <c r="V9" s="24"/>
      <c r="W9" s="23"/>
      <c r="X9" s="24"/>
      <c r="Y9" s="19">
        <v>0.008</v>
      </c>
      <c r="Z9" s="19"/>
      <c r="AA9" s="19">
        <v>0.15</v>
      </c>
      <c r="AB9" s="19"/>
      <c r="AC9" s="19"/>
      <c r="AD9" s="23">
        <v>9.8</v>
      </c>
      <c r="AE9" s="23"/>
      <c r="AF9" s="19">
        <v>0.12</v>
      </c>
      <c r="AG9" s="25">
        <v>31</v>
      </c>
      <c r="AH9" s="19"/>
      <c r="AI9" s="19"/>
      <c r="AJ9" s="19"/>
      <c r="AK9" s="19">
        <v>0.4</v>
      </c>
      <c r="AL9" s="66"/>
    </row>
    <row r="10" spans="1:38" s="4" customFormat="1" ht="49.5">
      <c r="A10" s="18" t="s">
        <v>46</v>
      </c>
      <c r="B10" s="28">
        <v>1600</v>
      </c>
      <c r="C10" s="27">
        <v>2000</v>
      </c>
      <c r="D10" s="19">
        <v>5.9</v>
      </c>
      <c r="E10" s="20"/>
      <c r="F10" s="20"/>
      <c r="G10" s="21">
        <v>370</v>
      </c>
      <c r="H10" s="20"/>
      <c r="I10" s="20"/>
      <c r="J10" s="20">
        <v>0.02</v>
      </c>
      <c r="K10" s="20" t="s">
        <v>35</v>
      </c>
      <c r="L10" s="20">
        <v>1.4</v>
      </c>
      <c r="M10" s="20" t="s">
        <v>35</v>
      </c>
      <c r="N10" s="20">
        <v>1.8</v>
      </c>
      <c r="O10" s="20" t="s">
        <v>35</v>
      </c>
      <c r="P10" s="66">
        <v>3.6</v>
      </c>
      <c r="Q10" s="28">
        <v>1600</v>
      </c>
      <c r="R10" s="19" t="s">
        <v>34</v>
      </c>
      <c r="S10" s="20"/>
      <c r="T10" s="20"/>
      <c r="U10" s="21"/>
      <c r="V10" s="21"/>
      <c r="W10" s="20"/>
      <c r="X10" s="20"/>
      <c r="Y10" s="20">
        <v>0.0044</v>
      </c>
      <c r="Z10" s="20"/>
      <c r="AA10" s="20"/>
      <c r="AB10" s="20"/>
      <c r="AC10" s="20"/>
      <c r="AD10" s="29">
        <v>1</v>
      </c>
      <c r="AE10" s="29"/>
      <c r="AF10" s="20"/>
      <c r="AG10" s="29">
        <v>1</v>
      </c>
      <c r="AH10" s="20"/>
      <c r="AI10" s="20"/>
      <c r="AJ10" s="20"/>
      <c r="AK10" s="19">
        <v>0.127</v>
      </c>
      <c r="AL10" s="66"/>
    </row>
    <row r="11" spans="1:38" s="4" customFormat="1" ht="49.5">
      <c r="A11" s="18" t="s">
        <v>48</v>
      </c>
      <c r="B11" s="28">
        <v>400</v>
      </c>
      <c r="C11" s="27">
        <v>400</v>
      </c>
      <c r="D11" s="19" t="s">
        <v>35</v>
      </c>
      <c r="E11" s="19" t="s">
        <v>35</v>
      </c>
      <c r="F11" s="19" t="s">
        <v>35</v>
      </c>
      <c r="G11" s="19" t="s">
        <v>35</v>
      </c>
      <c r="H11" s="19" t="s">
        <v>35</v>
      </c>
      <c r="I11" s="19" t="s">
        <v>35</v>
      </c>
      <c r="J11" s="19" t="s">
        <v>35</v>
      </c>
      <c r="K11" s="19" t="s">
        <v>35</v>
      </c>
      <c r="L11" s="19" t="s">
        <v>35</v>
      </c>
      <c r="M11" s="19" t="s">
        <v>35</v>
      </c>
      <c r="N11" s="19" t="s">
        <v>35</v>
      </c>
      <c r="O11" s="19" t="s">
        <v>35</v>
      </c>
      <c r="P11" s="108" t="s">
        <v>35</v>
      </c>
      <c r="Q11" s="28">
        <v>400</v>
      </c>
      <c r="R11" s="27" t="s">
        <v>35</v>
      </c>
      <c r="S11" s="27"/>
      <c r="T11" s="27" t="s">
        <v>35</v>
      </c>
      <c r="U11" s="27" t="s">
        <v>35</v>
      </c>
      <c r="V11" s="92"/>
      <c r="W11" s="27" t="s">
        <v>35</v>
      </c>
      <c r="X11" s="27" t="s">
        <v>35</v>
      </c>
      <c r="Y11" s="27" t="s">
        <v>35</v>
      </c>
      <c r="Z11" s="92"/>
      <c r="AA11" s="27" t="s">
        <v>35</v>
      </c>
      <c r="AB11" s="92"/>
      <c r="AC11" s="92"/>
      <c r="AD11" s="27" t="s">
        <v>35</v>
      </c>
      <c r="AE11" s="92"/>
      <c r="AF11" s="27" t="s">
        <v>35</v>
      </c>
      <c r="AG11" s="27" t="s">
        <v>35</v>
      </c>
      <c r="AH11" s="27" t="s">
        <v>35</v>
      </c>
      <c r="AI11" s="92"/>
      <c r="AJ11" s="92"/>
      <c r="AK11" s="27" t="s">
        <v>35</v>
      </c>
      <c r="AL11" s="93"/>
    </row>
    <row r="12" spans="1:38" s="4" customFormat="1" ht="33.75">
      <c r="A12" s="18" t="s">
        <v>59</v>
      </c>
      <c r="B12" s="28">
        <v>1583</v>
      </c>
      <c r="C12" s="27">
        <v>2563</v>
      </c>
      <c r="D12" s="19" t="s">
        <v>61</v>
      </c>
      <c r="E12" s="27">
        <v>3366</v>
      </c>
      <c r="F12" s="20"/>
      <c r="G12" s="21">
        <v>2131</v>
      </c>
      <c r="H12" s="27">
        <v>122</v>
      </c>
      <c r="I12" s="71">
        <v>0.018</v>
      </c>
      <c r="J12" s="71">
        <v>0.116</v>
      </c>
      <c r="K12" s="27">
        <v>282</v>
      </c>
      <c r="L12" s="46">
        <v>17.9</v>
      </c>
      <c r="M12" s="71">
        <v>0.092</v>
      </c>
      <c r="N12" s="46">
        <v>16.5</v>
      </c>
      <c r="O12" s="70">
        <v>6.95</v>
      </c>
      <c r="P12" s="72">
        <v>29.9</v>
      </c>
      <c r="Q12" s="28">
        <v>1583</v>
      </c>
      <c r="R12" s="27" t="s">
        <v>35</v>
      </c>
      <c r="S12" s="92"/>
      <c r="T12" s="27" t="s">
        <v>35</v>
      </c>
      <c r="U12" s="27" t="s">
        <v>89</v>
      </c>
      <c r="V12" s="92"/>
      <c r="W12" s="27" t="s">
        <v>35</v>
      </c>
      <c r="X12" s="27" t="s">
        <v>35</v>
      </c>
      <c r="Y12" s="27" t="s">
        <v>35</v>
      </c>
      <c r="Z12" s="92"/>
      <c r="AA12" s="27" t="s">
        <v>35</v>
      </c>
      <c r="AB12" s="92"/>
      <c r="AC12" s="92"/>
      <c r="AD12" s="27" t="s">
        <v>35</v>
      </c>
      <c r="AE12" s="92"/>
      <c r="AF12" s="27" t="s">
        <v>35</v>
      </c>
      <c r="AG12" s="27" t="s">
        <v>35</v>
      </c>
      <c r="AH12" s="27" t="s">
        <v>35</v>
      </c>
      <c r="AI12" s="92"/>
      <c r="AJ12" s="92"/>
      <c r="AK12" s="27" t="s">
        <v>35</v>
      </c>
      <c r="AL12" s="93"/>
    </row>
    <row r="13" spans="1:38" s="4" customFormat="1" ht="49.5">
      <c r="A13" s="18" t="s">
        <v>62</v>
      </c>
      <c r="B13" s="28">
        <v>600</v>
      </c>
      <c r="C13" s="27">
        <v>700</v>
      </c>
      <c r="D13" s="19">
        <v>4.6</v>
      </c>
      <c r="E13" s="27">
        <v>1688</v>
      </c>
      <c r="F13" s="20"/>
      <c r="G13" s="21">
        <v>1167</v>
      </c>
      <c r="H13" s="27">
        <v>18</v>
      </c>
      <c r="I13" s="27" t="s">
        <v>66</v>
      </c>
      <c r="J13" s="71">
        <v>0.102</v>
      </c>
      <c r="K13" s="71">
        <v>0.577</v>
      </c>
      <c r="L13" s="71">
        <v>0.107</v>
      </c>
      <c r="M13" s="27" t="s">
        <v>65</v>
      </c>
      <c r="N13" s="70">
        <v>11.17</v>
      </c>
      <c r="O13" s="27"/>
      <c r="P13" s="76">
        <v>3.79</v>
      </c>
      <c r="Q13" s="28">
        <v>600</v>
      </c>
      <c r="R13" s="27" t="s">
        <v>75</v>
      </c>
      <c r="S13" s="27"/>
      <c r="T13" s="27">
        <v>20</v>
      </c>
      <c r="U13" s="27"/>
      <c r="V13" s="27">
        <v>10</v>
      </c>
      <c r="W13" s="71">
        <v>0.087</v>
      </c>
      <c r="X13" s="71">
        <v>0.018</v>
      </c>
      <c r="Y13" s="27"/>
      <c r="Z13" s="71">
        <v>0.005</v>
      </c>
      <c r="AA13" s="27"/>
      <c r="AB13" s="71">
        <v>0.031</v>
      </c>
      <c r="AC13" s="74">
        <v>0.0052</v>
      </c>
      <c r="AD13" s="46">
        <v>1</v>
      </c>
      <c r="AE13" s="75">
        <v>5E-05</v>
      </c>
      <c r="AF13" s="27"/>
      <c r="AG13" s="27"/>
      <c r="AH13" s="27"/>
      <c r="AI13" s="46">
        <v>0.1</v>
      </c>
      <c r="AJ13" s="71">
        <v>0.005</v>
      </c>
      <c r="AK13" s="27"/>
      <c r="AL13" s="77">
        <v>0.388</v>
      </c>
    </row>
    <row r="14" spans="1:38" s="4" customFormat="1" ht="50.25" thickBot="1">
      <c r="A14" s="80" t="s">
        <v>63</v>
      </c>
      <c r="B14" s="81" t="s">
        <v>64</v>
      </c>
      <c r="C14" s="82">
        <v>1000</v>
      </c>
      <c r="D14" s="83">
        <v>2.9</v>
      </c>
      <c r="E14" s="63">
        <v>4085</v>
      </c>
      <c r="F14" s="84"/>
      <c r="G14" s="85">
        <v>3002</v>
      </c>
      <c r="H14" s="82">
        <v>268</v>
      </c>
      <c r="I14" s="86">
        <v>0.11</v>
      </c>
      <c r="J14" s="87">
        <v>0.557</v>
      </c>
      <c r="K14" s="86">
        <v>8.7</v>
      </c>
      <c r="L14" s="86">
        <v>140</v>
      </c>
      <c r="M14" s="82" t="s">
        <v>65</v>
      </c>
      <c r="N14" s="86">
        <v>18.7</v>
      </c>
      <c r="O14" s="82"/>
      <c r="P14" s="88">
        <v>5.8</v>
      </c>
      <c r="Q14" s="81">
        <v>175</v>
      </c>
      <c r="R14" s="63" t="s">
        <v>75</v>
      </c>
      <c r="S14" s="63"/>
      <c r="T14" s="63">
        <v>20</v>
      </c>
      <c r="U14" s="82"/>
      <c r="V14" s="82">
        <v>10</v>
      </c>
      <c r="W14" s="87">
        <v>0.087</v>
      </c>
      <c r="X14" s="87">
        <v>0.018</v>
      </c>
      <c r="Y14" s="87"/>
      <c r="Z14" s="87">
        <v>0.005</v>
      </c>
      <c r="AA14" s="87"/>
      <c r="AB14" s="87">
        <v>0.031</v>
      </c>
      <c r="AC14" s="89">
        <v>0.0052</v>
      </c>
      <c r="AD14" s="90">
        <v>1</v>
      </c>
      <c r="AE14" s="91">
        <v>5E-05</v>
      </c>
      <c r="AF14" s="63"/>
      <c r="AG14" s="63"/>
      <c r="AH14" s="63"/>
      <c r="AI14" s="78">
        <v>0.1</v>
      </c>
      <c r="AJ14" s="69">
        <v>0.005</v>
      </c>
      <c r="AK14" s="69"/>
      <c r="AL14" s="79">
        <v>0.388</v>
      </c>
    </row>
    <row r="15" spans="1:30" s="4" customFormat="1" ht="15">
      <c r="A15" s="68" t="s">
        <v>90</v>
      </c>
      <c r="B15" s="42"/>
      <c r="C15" s="42"/>
      <c r="D15" s="42"/>
      <c r="E15" s="43"/>
      <c r="F15" s="43"/>
      <c r="G15" s="44"/>
      <c r="H15" s="45"/>
      <c r="I15" s="45"/>
      <c r="J15" s="45"/>
      <c r="K15" s="45"/>
      <c r="L15" s="45"/>
      <c r="M15" s="43"/>
      <c r="N15" s="44"/>
      <c r="O15" s="43"/>
      <c r="P15" s="44"/>
      <c r="Q15" s="42"/>
      <c r="R15" s="42"/>
      <c r="S15" s="45"/>
      <c r="T15" s="44"/>
      <c r="U15" s="44"/>
      <c r="V15" s="42"/>
      <c r="W15" s="43"/>
      <c r="X15" s="44"/>
      <c r="Y15" s="44"/>
      <c r="Z15" s="5"/>
      <c r="AA15" s="5"/>
      <c r="AB15" s="5"/>
      <c r="AC15" s="5"/>
      <c r="AD15" s="5"/>
    </row>
    <row r="16" spans="1:30" s="4" customFormat="1" ht="15">
      <c r="A16" s="68" t="s">
        <v>68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4" customFormat="1" ht="18">
      <c r="A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4" customFormat="1" ht="18">
      <c r="A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6:30" s="4" customFormat="1" ht="15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="4" customFormat="1" ht="15"/>
    <row r="21" s="4" customFormat="1" ht="15.75" thickBot="1"/>
    <row r="22" spans="2:13" ht="16.5" thickBot="1" thickTop="1">
      <c r="B22" s="8"/>
      <c r="C22" s="8"/>
      <c r="D22" s="109" t="s">
        <v>3</v>
      </c>
      <c r="E22" s="110"/>
      <c r="F22" s="113"/>
      <c r="G22" s="109" t="s">
        <v>39</v>
      </c>
      <c r="H22" s="110"/>
      <c r="I22" s="110"/>
      <c r="J22" s="113"/>
      <c r="K22" s="109" t="s">
        <v>52</v>
      </c>
      <c r="L22" s="110"/>
      <c r="M22" s="113"/>
    </row>
    <row r="23" spans="1:13" ht="47.25" thickBot="1">
      <c r="A23" s="54" t="s">
        <v>2</v>
      </c>
      <c r="B23" s="55" t="s">
        <v>7</v>
      </c>
      <c r="C23" s="56" t="s">
        <v>45</v>
      </c>
      <c r="D23" s="57" t="s">
        <v>37</v>
      </c>
      <c r="E23" s="57" t="s">
        <v>60</v>
      </c>
      <c r="F23" s="57" t="s">
        <v>50</v>
      </c>
      <c r="G23" s="55" t="s">
        <v>38</v>
      </c>
      <c r="H23" s="57" t="s">
        <v>41</v>
      </c>
      <c r="I23" s="57" t="s">
        <v>40</v>
      </c>
      <c r="J23" s="56" t="s">
        <v>69</v>
      </c>
      <c r="K23" s="57" t="s">
        <v>53</v>
      </c>
      <c r="L23" s="57" t="s">
        <v>54</v>
      </c>
      <c r="M23" s="56" t="s">
        <v>56</v>
      </c>
    </row>
    <row r="24" spans="1:14" ht="33.75">
      <c r="A24" s="11" t="s">
        <v>24</v>
      </c>
      <c r="B24" s="34" t="s">
        <v>36</v>
      </c>
      <c r="C24" s="36">
        <v>700</v>
      </c>
      <c r="D24" s="35">
        <v>5000000</v>
      </c>
      <c r="E24" s="35"/>
      <c r="F24" s="35"/>
      <c r="G24" s="37">
        <v>410000</v>
      </c>
      <c r="H24" s="35">
        <v>310000</v>
      </c>
      <c r="I24" s="35">
        <v>269000</v>
      </c>
      <c r="J24" s="36" t="s">
        <v>70</v>
      </c>
      <c r="K24" s="38">
        <f aca="true" t="shared" si="0" ref="K24:K30">SUM(D24:F24)</f>
        <v>5000000</v>
      </c>
      <c r="L24" s="35">
        <f>SUM(G24:I24)</f>
        <v>989000</v>
      </c>
      <c r="M24" s="41">
        <f aca="true" t="shared" si="1" ref="M24:M29">(K24+L24)/B8/1000</f>
        <v>23.956</v>
      </c>
      <c r="N24" s="40"/>
    </row>
    <row r="25" spans="1:13" ht="46.5">
      <c r="A25" s="18" t="s">
        <v>42</v>
      </c>
      <c r="B25" s="33" t="s">
        <v>44</v>
      </c>
      <c r="C25" s="32">
        <v>200</v>
      </c>
      <c r="D25" s="31">
        <v>600000</v>
      </c>
      <c r="E25" s="31"/>
      <c r="F25" s="31"/>
      <c r="G25" s="30">
        <v>400000</v>
      </c>
      <c r="H25" s="31">
        <v>80000</v>
      </c>
      <c r="I25" s="31">
        <v>276000</v>
      </c>
      <c r="J25" s="32" t="s">
        <v>71</v>
      </c>
      <c r="K25" s="38">
        <f t="shared" si="0"/>
        <v>600000</v>
      </c>
      <c r="L25" s="35">
        <f>SUM(G25:I25)</f>
        <v>756000</v>
      </c>
      <c r="M25" s="41">
        <f t="shared" si="1"/>
        <v>3.39</v>
      </c>
    </row>
    <row r="26" spans="1:13" ht="49.5">
      <c r="A26" s="18" t="s">
        <v>46</v>
      </c>
      <c r="B26" s="33" t="s">
        <v>47</v>
      </c>
      <c r="C26" s="39">
        <v>2000</v>
      </c>
      <c r="D26" s="31">
        <v>7500000</v>
      </c>
      <c r="E26" s="31"/>
      <c r="F26" s="31"/>
      <c r="G26" s="30">
        <v>182000</v>
      </c>
      <c r="H26" s="31">
        <v>398000</v>
      </c>
      <c r="I26" s="31">
        <v>220000</v>
      </c>
      <c r="J26" s="32" t="s">
        <v>72</v>
      </c>
      <c r="K26" s="38">
        <f t="shared" si="0"/>
        <v>7500000</v>
      </c>
      <c r="L26" s="35">
        <f>SUM(G26:I26)</f>
        <v>800000</v>
      </c>
      <c r="M26" s="41">
        <f t="shared" si="1"/>
        <v>5.1875</v>
      </c>
    </row>
    <row r="27" spans="1:14" ht="49.5">
      <c r="A27" s="18" t="s">
        <v>48</v>
      </c>
      <c r="B27" s="33" t="s">
        <v>44</v>
      </c>
      <c r="C27" s="39">
        <v>400</v>
      </c>
      <c r="D27" s="31">
        <v>475000</v>
      </c>
      <c r="E27" s="31">
        <f>47868+25000</f>
        <v>72868</v>
      </c>
      <c r="F27" s="31">
        <v>828524</v>
      </c>
      <c r="G27" s="30">
        <v>127572</v>
      </c>
      <c r="H27" s="31">
        <v>260864</v>
      </c>
      <c r="I27" s="31">
        <v>239919</v>
      </c>
      <c r="J27" s="32"/>
      <c r="K27" s="38">
        <f t="shared" si="0"/>
        <v>1376392</v>
      </c>
      <c r="L27" s="35">
        <f>SUM(G27:I27)</f>
        <v>628355</v>
      </c>
      <c r="M27" s="41">
        <f t="shared" si="1"/>
        <v>5.0118675</v>
      </c>
      <c r="N27" s="94"/>
    </row>
    <row r="28" spans="1:13" ht="46.5">
      <c r="A28" s="18" t="s">
        <v>59</v>
      </c>
      <c r="B28" s="33" t="s">
        <v>44</v>
      </c>
      <c r="C28" s="39">
        <v>2563</v>
      </c>
      <c r="D28" s="31">
        <v>15504999</v>
      </c>
      <c r="E28" s="31">
        <f>119037+1485000+1950000+375000+60000+157206+71143</f>
        <v>4217386</v>
      </c>
      <c r="F28" s="31">
        <f>131250+178556+435000+1485000+435000</f>
        <v>2664806</v>
      </c>
      <c r="G28" s="30">
        <v>303040</v>
      </c>
      <c r="H28" s="31">
        <v>1025485</v>
      </c>
      <c r="I28" s="31">
        <v>458035</v>
      </c>
      <c r="J28" s="32"/>
      <c r="K28" s="38">
        <f t="shared" si="0"/>
        <v>22387191</v>
      </c>
      <c r="L28" s="35">
        <f>SUM(G28:I28)</f>
        <v>1786560</v>
      </c>
      <c r="M28" s="41">
        <f t="shared" si="1"/>
        <v>15.270847125710675</v>
      </c>
    </row>
    <row r="29" spans="1:13" ht="78" thickBot="1">
      <c r="A29" s="58" t="s">
        <v>62</v>
      </c>
      <c r="B29" s="59" t="s">
        <v>67</v>
      </c>
      <c r="C29" s="60">
        <v>600</v>
      </c>
      <c r="D29" s="61">
        <v>2503250</v>
      </c>
      <c r="E29" s="61"/>
      <c r="F29" s="61">
        <v>3086624</v>
      </c>
      <c r="G29" s="62">
        <f>((191428+31380)+((232436.7+115357)*0.78)+((232436.7+115357)*0.78)+((232436.7+115357)*0.78))/4</f>
        <v>259161.3145</v>
      </c>
      <c r="H29" s="61">
        <f>((58800+8388+39540+57600)+(104136.67+(65949.39*0.78)+(139911.66*0.78))+(110044.22+(66522.6*0.78)+(135744.07*0.78))+(105090.6+(48398.4*0.78)+(136633.52*0.78)))/4</f>
        <v>236566.0023</v>
      </c>
      <c r="I29" s="61">
        <f>(25992+6881.71+0+8412.62+0+8723.57+22178.29)/4</f>
        <v>18047.0475</v>
      </c>
      <c r="J29" s="73">
        <f>(21252+((26344.3*0.78)*3))/4</f>
        <v>20724.4155</v>
      </c>
      <c r="K29" s="38">
        <f t="shared" si="0"/>
        <v>5589874</v>
      </c>
      <c r="L29" s="35">
        <f>SUM(G29:J29)</f>
        <v>534498.7798</v>
      </c>
      <c r="M29" s="41">
        <f t="shared" si="1"/>
        <v>10.207287966333332</v>
      </c>
    </row>
    <row r="30" spans="1:13" ht="78" thickBot="1">
      <c r="A30" s="58" t="s">
        <v>63</v>
      </c>
      <c r="B30" s="59" t="s">
        <v>67</v>
      </c>
      <c r="C30" s="60">
        <v>2000</v>
      </c>
      <c r="D30" s="61" t="s">
        <v>35</v>
      </c>
      <c r="E30" s="61"/>
      <c r="F30" s="61" t="s">
        <v>35</v>
      </c>
      <c r="G30" s="62">
        <f>((155626+31380)+((232436.7+115357)*0.22)+((232436.7+115357)*0.22)+((232436.7+115357)*0.22))/4</f>
        <v>104137.4605</v>
      </c>
      <c r="H30" s="61">
        <f>((40800+8280+39540+38400)+(101480.87+(65649.39*0.22)+(139911.66*0.22))+(110587.41+(66522.6*0.22)+(135744.07*0.22))+(105244+(48398.4*0.22)+(136633.52*0.22)))/4</f>
        <v>143690.3502</v>
      </c>
      <c r="I30" s="61">
        <f>(142610+19203.35+31684.92+36240.94+38037.28+46977.2+58514.29)/4</f>
        <v>93316.995</v>
      </c>
      <c r="J30" s="73">
        <f>(5412+((26344.3*0.22)*3))/4</f>
        <v>5699.8095</v>
      </c>
      <c r="K30" s="106">
        <f t="shared" si="0"/>
        <v>0</v>
      </c>
      <c r="L30" s="61">
        <f>SUM(G30:J30)</f>
        <v>346844.61519999994</v>
      </c>
      <c r="M30" s="107"/>
    </row>
    <row r="31" spans="1:13" ht="18">
      <c r="A31" s="47"/>
      <c r="B31" s="48"/>
      <c r="C31" s="49"/>
      <c r="D31" s="50"/>
      <c r="E31" s="50"/>
      <c r="F31" s="50"/>
      <c r="G31" s="50"/>
      <c r="H31" s="50"/>
      <c r="I31" s="50"/>
      <c r="J31" s="51"/>
      <c r="K31" s="52"/>
      <c r="L31" s="50"/>
      <c r="M31" s="53"/>
    </row>
    <row r="32" spans="4:13" ht="17.25">
      <c r="D32" s="100"/>
      <c r="G32" s="8"/>
      <c r="H32" s="8"/>
      <c r="I32" s="8"/>
      <c r="J32" s="8"/>
      <c r="K32" s="40"/>
      <c r="L32" s="40"/>
      <c r="M32" s="96"/>
    </row>
    <row r="33" spans="1:13" ht="15">
      <c r="A33" s="1" t="s">
        <v>58</v>
      </c>
      <c r="G33" s="8"/>
      <c r="H33" s="8"/>
      <c r="K33" s="96"/>
      <c r="L33" s="96"/>
      <c r="M33" s="8"/>
    </row>
    <row r="34" spans="1:13" ht="15">
      <c r="A34" s="1" t="s">
        <v>57</v>
      </c>
      <c r="L34" s="8"/>
      <c r="M34" s="8"/>
    </row>
    <row r="35" spans="12:13" ht="15">
      <c r="L35" s="8"/>
      <c r="M35" s="8"/>
    </row>
    <row r="36" spans="12:13" ht="15">
      <c r="L36" s="8"/>
      <c r="M36" s="8"/>
    </row>
    <row r="37" ht="15.75" thickBot="1"/>
    <row r="38" spans="1:5" ht="18">
      <c r="A38" s="114" t="s">
        <v>73</v>
      </c>
      <c r="B38" s="115"/>
      <c r="C38" s="97">
        <f>(M24+M25+M26+M27+M28+M29)/6</f>
        <v>10.503917098674002</v>
      </c>
      <c r="D38" s="98" t="s">
        <v>74</v>
      </c>
      <c r="E38" s="99"/>
    </row>
    <row r="39" spans="1:5" ht="18">
      <c r="A39" s="123" t="s">
        <v>87</v>
      </c>
      <c r="B39" s="124"/>
      <c r="C39" s="100">
        <f>(SUM($D$24:$D$29))/(SUM($B$8:$B$13))</f>
        <v>6534.915994206497</v>
      </c>
      <c r="D39" s="101" t="s">
        <v>85</v>
      </c>
      <c r="E39" s="102"/>
    </row>
    <row r="40" spans="1:5" ht="18" thickBot="1">
      <c r="A40" s="125" t="s">
        <v>86</v>
      </c>
      <c r="B40" s="126"/>
      <c r="C40" s="103">
        <f>(SUM($L$24:$L$29))/(SUM($B$8:$B$13))</f>
        <v>1136.8536684874819</v>
      </c>
      <c r="D40" s="104" t="s">
        <v>85</v>
      </c>
      <c r="E40" s="105"/>
    </row>
    <row r="43" spans="1:3" ht="15">
      <c r="A43" s="3" t="s">
        <v>1</v>
      </c>
      <c r="B43" s="3"/>
      <c r="C43" s="3"/>
    </row>
    <row r="44" ht="18">
      <c r="A44" s="7" t="s">
        <v>55</v>
      </c>
    </row>
    <row r="45" ht="18">
      <c r="A45" s="7" t="s">
        <v>49</v>
      </c>
    </row>
    <row r="46" ht="18">
      <c r="A46" s="7" t="s">
        <v>88</v>
      </c>
    </row>
    <row r="47" ht="18">
      <c r="A47" s="7" t="s">
        <v>91</v>
      </c>
    </row>
  </sheetData>
  <mergeCells count="10">
    <mergeCell ref="A39:B39"/>
    <mergeCell ref="A40:B40"/>
    <mergeCell ref="D22:F22"/>
    <mergeCell ref="G22:J22"/>
    <mergeCell ref="Q6:AL6"/>
    <mergeCell ref="K22:M22"/>
    <mergeCell ref="A38:B38"/>
    <mergeCell ref="A1:D1"/>
    <mergeCell ref="A2:F2"/>
    <mergeCell ref="B6:P6"/>
  </mergeCells>
  <printOptions/>
  <pageMargins left="0.75" right="0.75" top="1" bottom="1" header="0.5" footer="0.5"/>
  <pageSetup horizontalDpi="600" verticalDpi="600" orientation="landscape" pageOrder="overThenDown" scale="45" r:id="rId1"/>
  <rowBreaks count="1" manualBreakCount="1">
    <brk id="19" max="37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Science in Public Participation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Chambers</dc:creator>
  <cp:keywords/>
  <dc:description/>
  <cp:lastModifiedBy>David Chambers</cp:lastModifiedBy>
  <cp:lastPrinted>2003-05-20T21:08:23Z</cp:lastPrinted>
  <dcterms:created xsi:type="dcterms:W3CDTF">2003-03-20T17:39:15Z</dcterms:created>
  <dcterms:modified xsi:type="dcterms:W3CDTF">2003-05-23T21:19:53Z</dcterms:modified>
  <cp:category/>
  <cp:version/>
  <cp:contentType/>
  <cp:contentStatus/>
</cp:coreProperties>
</file>